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1-2025" sheetId="1" r:id="rId5"/>
    <sheet state="visible" name="LINK" sheetId="2" r:id="rId6"/>
  </sheets>
  <definedNames/>
  <calcPr/>
</workbook>
</file>

<file path=xl/sharedStrings.xml><?xml version="1.0" encoding="utf-8"?>
<sst xmlns="http://schemas.openxmlformats.org/spreadsheetml/2006/main" count="1" uniqueCount="1">
  <si>
    <t>https://bit.ly/SitasiSTIESurakarta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</si>
</sst>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quot; &quot;mmmm&quot; &quot;yyyy"/>
    <numFmt numFmtId="165" formatCode="dd&quot;/&quot;mm&quot;/&quot;yyyy"/>
  </numFmts>
  <fonts count="5">
    <font>
      <sz val="10.0"/>
      <color rgb="FF000000"/>
      <name val="Arial"/>
      <scheme val="minor"/>
    </font>
    <font>
      <b/>
      <color rgb="FFFFFFFF"/>
      <name val="Arial"/>
      <scheme val="minor"/>
    </font>
    <font>
      <color theme="1"/>
      <name val="Arial"/>
      <scheme val="minor"/>
    </font>
    <font>
      <u/>
      <color rgb="FF0000FF"/>
    </font>
    <font>
      <u/>
      <sz val="46.0"/>
      <color rgb="FF0000FF"/>
    </font>
  </fonts>
  <fills count="3">
    <fill>
      <patternFill patternType="none"/>
    </fill>
    <fill>
      <patternFill patternType="lightGray"/>
    </fill>
    <fill>
      <patternFill patternType="solid">
        <fgColor rgb="FF4A86E8"/>
        <bgColor rgb="FF4A86E8"/>
      </patternFill>
    </fill>
  </fills>
  <borders count="1">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2" fontId="1" numFmtId="0" xfId="0" applyAlignment="1" applyFill="1" applyFont="1">
      <alignment horizontal="center" vertical="center"/>
    </xf>
    <xf borderId="0" fillId="2" fontId="1" numFmtId="0" xfId="0" applyAlignment="1" applyFont="1">
      <alignment horizontal="center" shrinkToFit="0" vertical="center" wrapText="1"/>
    </xf>
    <xf borderId="0" fillId="2" fontId="1" numFmtId="49" xfId="0" applyAlignment="1" applyFont="1" applyNumberFormat="1">
      <alignment horizontal="center" vertical="center"/>
    </xf>
    <xf borderId="0" fillId="2" fontId="1" numFmtId="164" xfId="0" applyAlignment="1" applyFont="1" applyNumberFormat="1">
      <alignment horizontal="center" vertical="center"/>
    </xf>
    <xf borderId="0" fillId="0" fontId="2" numFmtId="0" xfId="0" applyAlignment="1" applyFont="1">
      <alignment horizontal="center" vertical="center"/>
    </xf>
    <xf borderId="0" fillId="0" fontId="2" numFmtId="0" xfId="0" applyAlignment="1" applyFont="1">
      <alignment shrinkToFit="0" vertical="center" wrapText="1"/>
    </xf>
    <xf borderId="0" fillId="0" fontId="2" numFmtId="49" xfId="0" applyAlignment="1" applyFont="1" applyNumberFormat="1">
      <alignment horizontal="center" vertical="center"/>
    </xf>
    <xf borderId="0" fillId="0" fontId="2" numFmtId="165" xfId="0" applyAlignment="1" applyFont="1" applyNumberFormat="1">
      <alignment horizontal="center" vertical="center"/>
    </xf>
    <xf borderId="0" fillId="0" fontId="2" numFmtId="164" xfId="0" applyAlignment="1" applyFont="1" applyNumberFormat="1">
      <alignment horizontal="center" vertical="center"/>
    </xf>
    <xf borderId="0" fillId="0" fontId="2" numFmtId="0" xfId="0" applyAlignment="1" applyFont="1">
      <alignment vertical="center"/>
    </xf>
    <xf borderId="0" fillId="0" fontId="3" numFmtId="0" xfId="0" applyAlignment="1" applyFont="1">
      <alignment shrinkToFit="0" vertical="center" wrapText="1"/>
    </xf>
    <xf borderId="0" fillId="0" fontId="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jurnal.unismuhpalu.ac.id/index.php/JSM/article/view/2333" TargetMode="External"/><Relationship Id="rId194" Type="http://schemas.openxmlformats.org/officeDocument/2006/relationships/hyperlink" Target="https://jurnal.stietrisnanegara.ac.id/index.php/aktual/article/view/128" TargetMode="External"/><Relationship Id="rId193" Type="http://schemas.openxmlformats.org/officeDocument/2006/relationships/hyperlink" Target="https://ojsicobuss.stiesia.ac.id/index.php/icobuss1st/article/view/191" TargetMode="External"/><Relationship Id="rId192" Type="http://schemas.openxmlformats.org/officeDocument/2006/relationships/hyperlink" Target="https://jurnal.unismuhpalu.ac.id/index.php/JSM/article/view/2330" TargetMode="External"/><Relationship Id="rId191" Type="http://schemas.openxmlformats.org/officeDocument/2006/relationships/hyperlink" Target="https://jurnal.stie-aas.ac.id/index.php/jie/article/view/4645" TargetMode="External"/><Relationship Id="rId187" Type="http://schemas.openxmlformats.org/officeDocument/2006/relationships/hyperlink" Target="https://jurnal.stie-aas.ac.id/index.php/jei/article/view/3623" TargetMode="External"/><Relationship Id="rId186" Type="http://schemas.openxmlformats.org/officeDocument/2006/relationships/hyperlink" Target="https://bajangjournal.com/index.php/Juremi/article/view/1696" TargetMode="External"/><Relationship Id="rId185" Type="http://schemas.openxmlformats.org/officeDocument/2006/relationships/hyperlink" Target="https://bajangjournal.com/index.php/Juremi/article/view/1681" TargetMode="External"/><Relationship Id="rId184" Type="http://schemas.openxmlformats.org/officeDocument/2006/relationships/hyperlink" Target="https://www.bajangjournal.com/index.php/Juremi/article/view/1680" TargetMode="External"/><Relationship Id="rId189" Type="http://schemas.openxmlformats.org/officeDocument/2006/relationships/hyperlink" Target="https://jurnal.unismuhpalu.ac.id/index.php/JSM/article/view/2327" TargetMode="External"/><Relationship Id="rId188" Type="http://schemas.openxmlformats.org/officeDocument/2006/relationships/hyperlink" Target="https://jist.publikasiindonesia.id/index.php/jist/article/view/382" TargetMode="External"/><Relationship Id="rId183" Type="http://schemas.openxmlformats.org/officeDocument/2006/relationships/hyperlink" Target="https://bajangjournal.com/index.php/Juremi/article/view/1336" TargetMode="External"/><Relationship Id="rId182" Type="http://schemas.openxmlformats.org/officeDocument/2006/relationships/hyperlink" Target="https://bajangjournal.com/index.php/Juremi/article/view/1685" TargetMode="External"/><Relationship Id="rId181" Type="http://schemas.openxmlformats.org/officeDocument/2006/relationships/hyperlink" Target="https://ejurnal.undana.ac.id/index.php/JEM/article/view/6552" TargetMode="External"/><Relationship Id="rId180" Type="http://schemas.openxmlformats.org/officeDocument/2006/relationships/hyperlink" Target="https://ejournal.undiksha.ac.id/index.php/JMPP/article/view/44773" TargetMode="External"/><Relationship Id="rId176" Type="http://schemas.openxmlformats.org/officeDocument/2006/relationships/hyperlink" Target="https://ejurnal.seminar-id.com/index.php/ekuitas/article/view/1279" TargetMode="External"/><Relationship Id="rId175" Type="http://schemas.openxmlformats.org/officeDocument/2006/relationships/hyperlink" Target="https://jurnalintelektiva.com/index.php/jurnal/article/view/708" TargetMode="External"/><Relationship Id="rId174" Type="http://schemas.openxmlformats.org/officeDocument/2006/relationships/hyperlink" Target="https://www.jurnalintelektiva.com/index.php/jurnal/article/view/708" TargetMode="External"/><Relationship Id="rId173" Type="http://schemas.openxmlformats.org/officeDocument/2006/relationships/hyperlink" Target="https://garuda.kemdikbud.go.id/documents/detail/2566914" TargetMode="External"/><Relationship Id="rId179" Type="http://schemas.openxmlformats.org/officeDocument/2006/relationships/hyperlink" Target="https://jurnal.stie-aas.ac.id/index.php/jie/article/view/4454" TargetMode="External"/><Relationship Id="rId178" Type="http://schemas.openxmlformats.org/officeDocument/2006/relationships/hyperlink" Target="https://jurnal.stie-aas.ac.id/index.php/jie/article/view/4645" TargetMode="External"/><Relationship Id="rId177" Type="http://schemas.openxmlformats.org/officeDocument/2006/relationships/hyperlink" Target="https://researchhub.id/index.php/jimek/article/view/263" TargetMode="External"/><Relationship Id="rId198" Type="http://schemas.openxmlformats.org/officeDocument/2006/relationships/hyperlink" Target="https://www.researchgate.net/publication/363865803_Analisis_variabel_yang_mempengaruhi_sikap_dalam_membayar_pajak_bumi_dan_bangunan_di_kecamatan_pasar_kliwon_Surakarta" TargetMode="External"/><Relationship Id="rId197" Type="http://schemas.openxmlformats.org/officeDocument/2006/relationships/hyperlink" Target="https://download.garuda.kemdikbud.go.id/article.php?article=2989039&amp;val=13139&amp;title=Analisis%20rasio%20aktivitas%20keuangan%20pada%20masa%20covid-19%20terhadap%20laba%20bersih" TargetMode="External"/><Relationship Id="rId196" Type="http://schemas.openxmlformats.org/officeDocument/2006/relationships/hyperlink" Target="https://ojsicobuss.stiesia.ac.id/index.php/icobuss1st/article/view/196" TargetMode="External"/><Relationship Id="rId195" Type="http://schemas.openxmlformats.org/officeDocument/2006/relationships/hyperlink" Target="https://ojsicobuss.stiesia.ac.id/index.php/icobuss1st/article/view/210" TargetMode="External"/><Relationship Id="rId199" Type="http://schemas.openxmlformats.org/officeDocument/2006/relationships/hyperlink" Target="https://jurnal.stietrisnanegara.ac.id/index.php/aktual/article/view/132" TargetMode="External"/><Relationship Id="rId150" Type="http://schemas.openxmlformats.org/officeDocument/2006/relationships/hyperlink" Target="https://jurnal.untidar.ac.id/index.php/RAK/article/view/4348" TargetMode="External"/><Relationship Id="rId392" Type="http://schemas.openxmlformats.org/officeDocument/2006/relationships/hyperlink" Target="https://jurnalpengabdian.stiesurakarta.ac.id/index.php/Dms/article/view/12" TargetMode="External"/><Relationship Id="rId391" Type="http://schemas.openxmlformats.org/officeDocument/2006/relationships/hyperlink" Target="https://jurnalpengabdian.stiesurakarta.ac.id/index.php/Dms/article/view/12" TargetMode="External"/><Relationship Id="rId390" Type="http://schemas.openxmlformats.org/officeDocument/2006/relationships/hyperlink" Target="https://jurnalpengabdian.stiesurakarta.ac.id/index.php/Dms/article/view/21" TargetMode="External"/><Relationship Id="rId1" Type="http://schemas.openxmlformats.org/officeDocument/2006/relationships/hyperlink" Target="https://e-journal.unair.ac.id/BAKI/article/view/25521" TargetMode="External"/><Relationship Id="rId2" Type="http://schemas.openxmlformats.org/officeDocument/2006/relationships/hyperlink" Target="https://journal.uc.ac.id/index.php/JEE/article/view/1867" TargetMode="External"/><Relationship Id="rId3" Type="http://schemas.openxmlformats.org/officeDocument/2006/relationships/hyperlink" Target="https://jurnal.stiesurakarta.ac.id/index.php/jebdeker/article/view/79" TargetMode="External"/><Relationship Id="rId149" Type="http://schemas.openxmlformats.org/officeDocument/2006/relationships/hyperlink" Target="https://docs.google.com/document/d/1IK7-067ZPUDHykC8r9sL3vjUzh32cnSi/edit?usp=drive_link&amp;ouid=113741177560435037779&amp;rtpof=true&amp;sd=true" TargetMode="External"/><Relationship Id="rId4" Type="http://schemas.openxmlformats.org/officeDocument/2006/relationships/hyperlink" Target="https://jurnal.pknstan.ac.id/index.php/sembadha/article/view/1473" TargetMode="External"/><Relationship Id="rId148" Type="http://schemas.openxmlformats.org/officeDocument/2006/relationships/hyperlink" Target="https://journals.unihaz.ac.id/index.php/crmj/en/article/view/1849" TargetMode="External"/><Relationship Id="rId9" Type="http://schemas.openxmlformats.org/officeDocument/2006/relationships/hyperlink" Target="https://radarsolo.jawapos.com/pendidikan/841673316/sties-surakarta-sulap-limbah-kopi-jadi-teh-kemasan" TargetMode="External"/><Relationship Id="rId143" Type="http://schemas.openxmlformats.org/officeDocument/2006/relationships/hyperlink" Target="https://jurnal.stiesurakarta.ac.id/index.php/jebdeker/article/view/64" TargetMode="External"/><Relationship Id="rId385" Type="http://schemas.openxmlformats.org/officeDocument/2006/relationships/hyperlink" Target="https://bajangjournal.com/index.php/Juremi/article/view/4449" TargetMode="External"/><Relationship Id="rId142" Type="http://schemas.openxmlformats.org/officeDocument/2006/relationships/hyperlink" Target="https://jurnal.stie-aas.ac.id/index.php/jie/article/view/2988" TargetMode="External"/><Relationship Id="rId384" Type="http://schemas.openxmlformats.org/officeDocument/2006/relationships/hyperlink" Target="https://bajangjournal.com/index.php/Juremi/article/view/4455" TargetMode="External"/><Relationship Id="rId141" Type="http://schemas.openxmlformats.org/officeDocument/2006/relationships/hyperlink" Target="https://journals.unihaz.ac.id/index.php/crmj/article/view/1827/989" TargetMode="External"/><Relationship Id="rId383" Type="http://schemas.openxmlformats.org/officeDocument/2006/relationships/hyperlink" Target="https://journalshub.org/index.php/jebaku/article/view/732" TargetMode="External"/><Relationship Id="rId140" Type="http://schemas.openxmlformats.org/officeDocument/2006/relationships/hyperlink" Target="https://jurnal.unigal.ac.id/bmej/article/view/4938" TargetMode="External"/><Relationship Id="rId382" Type="http://schemas.openxmlformats.org/officeDocument/2006/relationships/hyperlink" Target="https://www.bajangjournal.com/index.php/Juremi/article/view/4457" TargetMode="External"/><Relationship Id="rId5" Type="http://schemas.openxmlformats.org/officeDocument/2006/relationships/hyperlink" Target="https://journal.unesa.ac.id/index.php/jim/article/view/15787" TargetMode="External"/><Relationship Id="rId147" Type="http://schemas.openxmlformats.org/officeDocument/2006/relationships/hyperlink" Target="http://jurnalfe.ustjogja.ac.id/index.php/manajemen/article/view/2385" TargetMode="External"/><Relationship Id="rId389" Type="http://schemas.openxmlformats.org/officeDocument/2006/relationships/hyperlink" Target="https://jurnalpengabdian.stiesurakarta.ac.id/index.php/Dms/article/view/15" TargetMode="External"/><Relationship Id="rId6" Type="http://schemas.openxmlformats.org/officeDocument/2006/relationships/hyperlink" Target="https://drive.google.com/file/d/1mLrWA4w9p5p84bwV6Me6Y09UoamJ_b9g/view?usp=drive_link" TargetMode="External"/><Relationship Id="rId146" Type="http://schemas.openxmlformats.org/officeDocument/2006/relationships/hyperlink" Target="https://jurnal.umk.ac.id/index.php/bmaj/article/view/5999" TargetMode="External"/><Relationship Id="rId388" Type="http://schemas.openxmlformats.org/officeDocument/2006/relationships/hyperlink" Target="https://jurnal.stiesurakarta.ac.id/index.php/jebdeker/article/view/151" TargetMode="External"/><Relationship Id="rId7" Type="http://schemas.openxmlformats.org/officeDocument/2006/relationships/hyperlink" Target="https://journal.neolectura.com/index.php/Kangmas/article/view/433" TargetMode="External"/><Relationship Id="rId145" Type="http://schemas.openxmlformats.org/officeDocument/2006/relationships/hyperlink" Target="https://drive.google.com/drive/u/0/search?q=Factors%20That%20Influence%20The%20Fintech%20Users%20In%20Choosing%20Dana%20Digital%20Wallet" TargetMode="External"/><Relationship Id="rId387" Type="http://schemas.openxmlformats.org/officeDocument/2006/relationships/hyperlink" Target="https://jurnal.stiesurakarta.ac.id/index.php/jebdeker/article/view/132" TargetMode="External"/><Relationship Id="rId8" Type="http://schemas.openxmlformats.org/officeDocument/2006/relationships/hyperlink" Target="https://drive.google.com/file/d/1G_1I_NRKJH1vgPSKtZ7xt_SUTNWuhwaQ/view?usp=drive_link" TargetMode="External"/><Relationship Id="rId144" Type="http://schemas.openxmlformats.org/officeDocument/2006/relationships/hyperlink" Target="https://iocscience.org/ejournal/index.php/mantik/article/view/1195" TargetMode="External"/><Relationship Id="rId386" Type="http://schemas.openxmlformats.org/officeDocument/2006/relationships/hyperlink" Target="https://bajangjournal.com/index.php/Juremi/article/view/4457" TargetMode="External"/><Relationship Id="rId381" Type="http://schemas.openxmlformats.org/officeDocument/2006/relationships/hyperlink" Target="https://bajangjournal.com/index.php/Juremi/article/view/4452" TargetMode="External"/><Relationship Id="rId380" Type="http://schemas.openxmlformats.org/officeDocument/2006/relationships/hyperlink" Target="https://repository.stiesurakarta.ac.id/submission/5e509096-130a-4a9b-bd27-7b003128ae44" TargetMode="External"/><Relationship Id="rId139" Type="http://schemas.openxmlformats.org/officeDocument/2006/relationships/hyperlink" Target="https://jurnal.stie-aas.ac.id/index.php/jie/article/view/1381" TargetMode="External"/><Relationship Id="rId138" Type="http://schemas.openxmlformats.org/officeDocument/2006/relationships/hyperlink" Target="https://jurnalfe.ustjogja.ac.id/index.php/ekobis/article/view/2287" TargetMode="External"/><Relationship Id="rId137" Type="http://schemas.openxmlformats.org/officeDocument/2006/relationships/hyperlink" Target="https://journal.undiknas.ac.id/index.php/magister-manajemen/article/view/2884" TargetMode="External"/><Relationship Id="rId379" Type="http://schemas.openxmlformats.org/officeDocument/2006/relationships/hyperlink" Target="https://repository.stiesurakarta.ac.id/submission/06430514-6dc1-4e4f-8a08-825154b70f08" TargetMode="External"/><Relationship Id="rId132" Type="http://schemas.openxmlformats.org/officeDocument/2006/relationships/hyperlink" Target="https://ejournals.fkwu.uniga.ac.id/index.php/BIEJ/article/view/212" TargetMode="External"/><Relationship Id="rId374" Type="http://schemas.openxmlformats.org/officeDocument/2006/relationships/hyperlink" Target="https://journalshub.org/index.php/jebaku/article/view/882" TargetMode="External"/><Relationship Id="rId131" Type="http://schemas.openxmlformats.org/officeDocument/2006/relationships/hyperlink" Target="https://jurnal.stiesurakarta.ac.id/index.php/jebdeker/article/view/77" TargetMode="External"/><Relationship Id="rId373" Type="http://schemas.openxmlformats.org/officeDocument/2006/relationships/hyperlink" Target="https://ojs.cahayamandalika.com/index.php/jtm/article/view/1181" TargetMode="External"/><Relationship Id="rId130" Type="http://schemas.openxmlformats.org/officeDocument/2006/relationships/hyperlink" Target="https://jurnal.stie-aas.ac.id/index.php/jap/article/view/2384" TargetMode="External"/><Relationship Id="rId372" Type="http://schemas.openxmlformats.org/officeDocument/2006/relationships/hyperlink" Target="https://ejournal.goacademica.com/index.php/jk/article/view/636" TargetMode="External"/><Relationship Id="rId371" Type="http://schemas.openxmlformats.org/officeDocument/2006/relationships/hyperlink" Target="https://drive.google.com/file/d/1dao08IZmDOFusFyIYP-GJhEUR_3Ge3eo/view?usp=drive_link" TargetMode="External"/><Relationship Id="rId136" Type="http://schemas.openxmlformats.org/officeDocument/2006/relationships/hyperlink" Target="https://jurnal.stiesurakarta.ac.id/index.php/jebdeker/article/view/87" TargetMode="External"/><Relationship Id="rId378" Type="http://schemas.openxmlformats.org/officeDocument/2006/relationships/hyperlink" Target="https://jurnal.stiesurakarta.ac.id/index.php/jebdeker/article/view/129" TargetMode="External"/><Relationship Id="rId135" Type="http://schemas.openxmlformats.org/officeDocument/2006/relationships/hyperlink" Target="https://jim.usk.ac.id/EKM/article/view/17285" TargetMode="External"/><Relationship Id="rId377" Type="http://schemas.openxmlformats.org/officeDocument/2006/relationships/hyperlink" Target="https://jurnal.stiesurakarta.ac.id/index.php/jebdeker/article/view/129" TargetMode="External"/><Relationship Id="rId134" Type="http://schemas.openxmlformats.org/officeDocument/2006/relationships/hyperlink" Target="https://jurnal.stiesurakarta.ac.id/index.php/jebdeker/article/view/65" TargetMode="External"/><Relationship Id="rId376" Type="http://schemas.openxmlformats.org/officeDocument/2006/relationships/hyperlink" Target="https://journalshub.org/index.php/jebaku/article/view/882" TargetMode="External"/><Relationship Id="rId133" Type="http://schemas.openxmlformats.org/officeDocument/2006/relationships/hyperlink" Target="https://maker.ac.id/index.php/maker/article/view/285" TargetMode="External"/><Relationship Id="rId375" Type="http://schemas.openxmlformats.org/officeDocument/2006/relationships/hyperlink" Target="https://www.ojs.cahayamandalika.com/index.php/jtm/article/view/1181" TargetMode="External"/><Relationship Id="rId172" Type="http://schemas.openxmlformats.org/officeDocument/2006/relationships/hyperlink" Target="https://garuda.kemdikbud.go.id/documents/detail/2566179" TargetMode="External"/><Relationship Id="rId171" Type="http://schemas.openxmlformats.org/officeDocument/2006/relationships/hyperlink" Target="https://journal.uniku.ac.id/index.php/ijsm/article/view/4053" TargetMode="External"/><Relationship Id="rId170" Type="http://schemas.openxmlformats.org/officeDocument/2006/relationships/hyperlink" Target="https://www.researchgate.net/publication/359225470_MENGUJI_KUALITAS_PRODUK_HARGA_DAN_CITRA_MEREK_TERHADAP_KEPUTUSAN_PEMBELIAN_ROKOK_ELEKTRIK_DI_SOLORAYA" TargetMode="External"/><Relationship Id="rId165" Type="http://schemas.openxmlformats.org/officeDocument/2006/relationships/hyperlink" Target="https://jurnal.stie-aas.ac.id/index.php/jie/article/view/3959" TargetMode="External"/><Relationship Id="rId164" Type="http://schemas.openxmlformats.org/officeDocument/2006/relationships/hyperlink" Target="https://seocologi.com/index.php/seocology/article/view/50" TargetMode="External"/><Relationship Id="rId163" Type="http://schemas.openxmlformats.org/officeDocument/2006/relationships/hyperlink" Target="https://jurnalpengabdian.stiesurakarta.ac.id/index.php/Dms/article/view/20" TargetMode="External"/><Relationship Id="rId162" Type="http://schemas.openxmlformats.org/officeDocument/2006/relationships/hyperlink" Target="https://jurnalpengabdian.stiesurakarta.ac.id/index.php/Dms/article/view/14" TargetMode="External"/><Relationship Id="rId169" Type="http://schemas.openxmlformats.org/officeDocument/2006/relationships/hyperlink" Target="https://jurnal.stie-aas.ac.id/index.php/jap/article/view/3775" TargetMode="External"/><Relationship Id="rId168" Type="http://schemas.openxmlformats.org/officeDocument/2006/relationships/hyperlink" Target="http://jurnal.unmuhjember.ac.id/index.php/PENELITIAN_IPTEKS/article/view/6864/0" TargetMode="External"/><Relationship Id="rId167" Type="http://schemas.openxmlformats.org/officeDocument/2006/relationships/hyperlink" Target="http://jurnal.unmuhjember.ac.id/index.php/PENELITIAN_IPTEKS/article/view/6863" TargetMode="External"/><Relationship Id="rId166" Type="http://schemas.openxmlformats.org/officeDocument/2006/relationships/hyperlink" Target="https://plj.ac.id/ojs/index.php/jrlab/article/view/502" TargetMode="External"/><Relationship Id="rId161" Type="http://schemas.openxmlformats.org/officeDocument/2006/relationships/hyperlink" Target="https://journal.iaeijateng.org/index.php/ijiebmem/article/view/17" TargetMode="External"/><Relationship Id="rId160" Type="http://schemas.openxmlformats.org/officeDocument/2006/relationships/hyperlink" Target="https://drive.google.com/file/d/1pGUqttfHzOkBd_rwlPh9SFZU7Gvevf7G/view?usp=sharing" TargetMode="External"/><Relationship Id="rId159" Type="http://schemas.openxmlformats.org/officeDocument/2006/relationships/hyperlink" Target="http://jurnal.stietotalwin.ac.id/index.php/pakem/article/view/339" TargetMode="External"/><Relationship Id="rId154" Type="http://schemas.openxmlformats.org/officeDocument/2006/relationships/hyperlink" Target="https://abdidas.org/index.php/abdidas/article/view/290" TargetMode="External"/><Relationship Id="rId396" Type="http://schemas.openxmlformats.org/officeDocument/2006/relationships/hyperlink" Target="https://docs.google.com/document/d/10LnRQp7qZ0i3QyNQm8pC8eC7GW6Ew9ow/edit?usp=drive_link&amp;ouid=113741177560435037779&amp;rtpof=true&amp;sd=true" TargetMode="External"/><Relationship Id="rId153" Type="http://schemas.openxmlformats.org/officeDocument/2006/relationships/hyperlink" Target="https://ejournals.umma.ac.id/index.php/point/article/view/880" TargetMode="External"/><Relationship Id="rId395" Type="http://schemas.openxmlformats.org/officeDocument/2006/relationships/hyperlink" Target="https://www.educonferences.org/index.php/edusocial/libraryFiles/downloadPublic/28" TargetMode="External"/><Relationship Id="rId152" Type="http://schemas.openxmlformats.org/officeDocument/2006/relationships/hyperlink" Target="https://jurnal.stie-aas.ac.id/index.php/jie/article/view/1381" TargetMode="External"/><Relationship Id="rId394" Type="http://schemas.openxmlformats.org/officeDocument/2006/relationships/hyperlink" Target="https://jurnal.stie-aas.ac.id/index.php/jap/article/view/7609" TargetMode="External"/><Relationship Id="rId151" Type="http://schemas.openxmlformats.org/officeDocument/2006/relationships/hyperlink" Target="https://e-journal.unair.ac.id/BAKI/article/view/25700/15508" TargetMode="External"/><Relationship Id="rId393" Type="http://schemas.openxmlformats.org/officeDocument/2006/relationships/hyperlink" Target="https://bajangjournal.com/index.php/JEMBA/article/view/4442" TargetMode="External"/><Relationship Id="rId158" Type="http://schemas.openxmlformats.org/officeDocument/2006/relationships/hyperlink" Target="https://abdidas.org/index.php/abdidas/article/view/366" TargetMode="External"/><Relationship Id="rId157" Type="http://schemas.openxmlformats.org/officeDocument/2006/relationships/hyperlink" Target="https://journal.neolectura.com/index.php/Kangmas/article/view/50" TargetMode="External"/><Relationship Id="rId399" Type="http://schemas.openxmlformats.org/officeDocument/2006/relationships/hyperlink" Target="https://jurnal.unw.ac.id/index.php/jibaku/article/view/2153" TargetMode="External"/><Relationship Id="rId156" Type="http://schemas.openxmlformats.org/officeDocument/2006/relationships/hyperlink" Target="https://abdidas.org/index.php/abdidas/article/view/367" TargetMode="External"/><Relationship Id="rId398" Type="http://schemas.openxmlformats.org/officeDocument/2006/relationships/hyperlink" Target="https://jurnal.unw.ac.id/index.php/jibaku/article/view/2153" TargetMode="External"/><Relationship Id="rId155" Type="http://schemas.openxmlformats.org/officeDocument/2006/relationships/hyperlink" Target="https://ejournal.unma.ac.id/index.php/bernas/article/view/731" TargetMode="External"/><Relationship Id="rId397" Type="http://schemas.openxmlformats.org/officeDocument/2006/relationships/hyperlink" Target="https://garuda.kemdikbud.go.id/documents/detail/3285865" TargetMode="External"/><Relationship Id="rId808" Type="http://schemas.openxmlformats.org/officeDocument/2006/relationships/hyperlink" Target="https://repository.stiesurakarta.ac.id/submission/209693c5-4aec-43cf-a1da-00c1c59551d7" TargetMode="External"/><Relationship Id="rId807" Type="http://schemas.openxmlformats.org/officeDocument/2006/relationships/hyperlink" Target="https://repository.stiesurakarta.ac.id/submission/def423bc-d46f-4c63-9c6a-1dc0e2e3d09f" TargetMode="External"/><Relationship Id="rId806" Type="http://schemas.openxmlformats.org/officeDocument/2006/relationships/hyperlink" Target="https://repository.stiesurakarta.ac.id/submission/e8883ee5-b232-4a4c-af53-e5a9218f3646" TargetMode="External"/><Relationship Id="rId805" Type="http://schemas.openxmlformats.org/officeDocument/2006/relationships/hyperlink" Target="https://repository.stiesurakarta.ac.id/submission/0449a9e5-af71-4ec3-b4a1-b62a09bd0fb8" TargetMode="External"/><Relationship Id="rId809" Type="http://schemas.openxmlformats.org/officeDocument/2006/relationships/hyperlink" Target="https://repository.stiesurakarta.ac.id/submission/377705b4-3b31-4f90-b2ce-23e1ed41a1b6" TargetMode="External"/><Relationship Id="rId800" Type="http://schemas.openxmlformats.org/officeDocument/2006/relationships/hyperlink" Target="https://repository.stiesurakarta.ac.id/submission/c046fef2-4aa5-4bd5-a46a-a4ccb34f0c9e" TargetMode="External"/><Relationship Id="rId804" Type="http://schemas.openxmlformats.org/officeDocument/2006/relationships/hyperlink" Target="https://repository.stiesurakarta.ac.id/submission/dc08297b-465c-432d-aa6f-3e7179efcb76" TargetMode="External"/><Relationship Id="rId803" Type="http://schemas.openxmlformats.org/officeDocument/2006/relationships/hyperlink" Target="https://ejournal.warunayama.org/index.php/musytarineraca/article/view/11283" TargetMode="External"/><Relationship Id="rId802" Type="http://schemas.openxmlformats.org/officeDocument/2006/relationships/hyperlink" Target="https://repository.stiesurakarta.ac.id/submission/5e2e8634-b3f7-4e93-9c20-0ee527240455" TargetMode="External"/><Relationship Id="rId801" Type="http://schemas.openxmlformats.org/officeDocument/2006/relationships/hyperlink" Target="https://repository.stiesurakarta.ac.id/submission/cb760767-c29e-42c9-a995-22120a254351" TargetMode="External"/><Relationship Id="rId40" Type="http://schemas.openxmlformats.org/officeDocument/2006/relationships/hyperlink" Target="https://www.ijmcer.com/wp-content/uploads/2021/10/IJMCER_I035058068.pdf" TargetMode="External"/><Relationship Id="rId42" Type="http://schemas.openxmlformats.org/officeDocument/2006/relationships/hyperlink" Target="http://jurnal.unsil.ac.id/index.php/jem/index" TargetMode="External"/><Relationship Id="rId41" Type="http://schemas.openxmlformats.org/officeDocument/2006/relationships/hyperlink" Target="https://jurnal.ustjogja.ac.id/index.php/manajemendewantara/article/view/11317" TargetMode="External"/><Relationship Id="rId44" Type="http://schemas.openxmlformats.org/officeDocument/2006/relationships/hyperlink" Target="http://jurnal.unsil.ac.id/index.php/jem/author" TargetMode="External"/><Relationship Id="rId43" Type="http://schemas.openxmlformats.org/officeDocument/2006/relationships/hyperlink" Target="http://jurnal.unsil.ac.id/index.php/jem/index" TargetMode="External"/><Relationship Id="rId46" Type="http://schemas.openxmlformats.org/officeDocument/2006/relationships/hyperlink" Target="https://jurnal.stiesurakarta.ac.id/index.php/jebdeker" TargetMode="External"/><Relationship Id="rId45" Type="http://schemas.openxmlformats.org/officeDocument/2006/relationships/hyperlink" Target="https://ejournal.unhi.ac.id/index.php/widyamanajemen/article/view/1632" TargetMode="External"/><Relationship Id="rId509" Type="http://schemas.openxmlformats.org/officeDocument/2006/relationships/hyperlink" Target="https://journalshub.org/index.php/jebaku/article/view/1590" TargetMode="External"/><Relationship Id="rId508" Type="http://schemas.openxmlformats.org/officeDocument/2006/relationships/hyperlink" Target="https://drive.google.com/file/d/18QXCvgL4w_o4uEC0JwbmCdMXz5WVMMCI/view?usp=sharing" TargetMode="External"/><Relationship Id="rId503" Type="http://schemas.openxmlformats.org/officeDocument/2006/relationships/hyperlink" Target="https://jurnal2.untagsmg.ac.id/index.php/Transformasi/article/view/963/876" TargetMode="External"/><Relationship Id="rId745" Type="http://schemas.openxmlformats.org/officeDocument/2006/relationships/hyperlink" Target="https://journal.ikadi.or.id/index.php/assyirkah/article/view/387" TargetMode="External"/><Relationship Id="rId502" Type="http://schemas.openxmlformats.org/officeDocument/2006/relationships/hyperlink" Target="https://ifrelresearch.org/index.php/jap-widyakarya/article/view/1034" TargetMode="External"/><Relationship Id="rId744" Type="http://schemas.openxmlformats.org/officeDocument/2006/relationships/hyperlink" Target="https://repository.stiesurakarta.ac.id/submission/b0407ebc-ca7e-47d7-8687-7d450df20530" TargetMode="External"/><Relationship Id="rId501" Type="http://schemas.openxmlformats.org/officeDocument/2006/relationships/hyperlink" Target="https://jurnal2.untagsmg.ac.id/index.php/Transformasi/article/view/963" TargetMode="External"/><Relationship Id="rId743" Type="http://schemas.openxmlformats.org/officeDocument/2006/relationships/hyperlink" Target="https://ejurnal.kampusakademik.my.id/index.php/jemba/article/view/456" TargetMode="External"/><Relationship Id="rId500" Type="http://schemas.openxmlformats.org/officeDocument/2006/relationships/hyperlink" Target="https://drive.google.com/drive/folders/1gc6DRZ3rc8Isl4_CuBHNmiBI9V9juWxg?usp=drive_link" TargetMode="External"/><Relationship Id="rId742" Type="http://schemas.openxmlformats.org/officeDocument/2006/relationships/hyperlink" Target="https://repository.stiesurakarta.ac.id/submission/21a66bdb-0bd0-43db-8588-5912b610a1d3" TargetMode="External"/><Relationship Id="rId507" Type="http://schemas.openxmlformats.org/officeDocument/2006/relationships/hyperlink" Target="https://ejurnal.stie-trianandra.ac.id/index.php/jsr/article/view/1969" TargetMode="External"/><Relationship Id="rId749" Type="http://schemas.openxmlformats.org/officeDocument/2006/relationships/hyperlink" Target="https://jurnal.upnyk.ac.id/index.php/jmar/article/view/14533" TargetMode="External"/><Relationship Id="rId506" Type="http://schemas.openxmlformats.org/officeDocument/2006/relationships/hyperlink" Target="https://ejournal.nusantaraglobal.ac.id/index.php/sentri/article/view/1396" TargetMode="External"/><Relationship Id="rId748" Type="http://schemas.openxmlformats.org/officeDocument/2006/relationships/hyperlink" Target="https://journal.cattleyadf.org/index.php/Jasmien/article/view/601" TargetMode="External"/><Relationship Id="rId505" Type="http://schemas.openxmlformats.org/officeDocument/2006/relationships/hyperlink" Target="https://journalshub.org/index.php/jebaku/article/view/1589" TargetMode="External"/><Relationship Id="rId747" Type="http://schemas.openxmlformats.org/officeDocument/2006/relationships/hyperlink" Target="https://repository.stiesurakarta.ac.id/submission/8b1daa8a-92fe-4364-aa4b-3bcc0e17cdae" TargetMode="External"/><Relationship Id="rId504" Type="http://schemas.openxmlformats.org/officeDocument/2006/relationships/hyperlink" Target="https://drive.google.com/file/d/1PlXK3xtforgsfHFyou2ICBQOMiqQiv7c/view?usp=sharing" TargetMode="External"/><Relationship Id="rId746" Type="http://schemas.openxmlformats.org/officeDocument/2006/relationships/hyperlink" Target="https://repository.stiesurakarta.ac.id/submission/a39be2c3-38f4-43e7-8b33-715d147cdedd" TargetMode="External"/><Relationship Id="rId48" Type="http://schemas.openxmlformats.org/officeDocument/2006/relationships/hyperlink" Target="https://journal.universitasbumigora.ac.id/index.php/target/article/view/1169" TargetMode="External"/><Relationship Id="rId47" Type="http://schemas.openxmlformats.org/officeDocument/2006/relationships/hyperlink" Target="https://jurnal.unigal.ac.id/bmej/article/view/5080" TargetMode="External"/><Relationship Id="rId49" Type="http://schemas.openxmlformats.org/officeDocument/2006/relationships/hyperlink" Target="http://jurnal.unsil.ac.id/index.php/jem/author/submission/3696" TargetMode="External"/><Relationship Id="rId741" Type="http://schemas.openxmlformats.org/officeDocument/2006/relationships/hyperlink" Target="https://repository.stiesurakarta.ac.id/submission/a010821e-efe8-42bb-882f-b78910e53e5a" TargetMode="External"/><Relationship Id="rId740" Type="http://schemas.openxmlformats.org/officeDocument/2006/relationships/hyperlink" Target="https://repository.stiesurakarta.ac.id/submission/49340423-2ab3-42c2-ac80-de1e8b2c5047" TargetMode="External"/><Relationship Id="rId31" Type="http://schemas.openxmlformats.org/officeDocument/2006/relationships/hyperlink" Target="https://journal.uniku.ac.id/index.php/ijsm/article/view/4077/0" TargetMode="External"/><Relationship Id="rId30" Type="http://schemas.openxmlformats.org/officeDocument/2006/relationships/hyperlink" Target="https://journals.unihaz.ac.id/index.php/crmj/article/view/1849" TargetMode="External"/><Relationship Id="rId33" Type="http://schemas.openxmlformats.org/officeDocument/2006/relationships/hyperlink" Target="http://jurnal.unsil.ac.id/index.php/jem/index" TargetMode="External"/><Relationship Id="rId32" Type="http://schemas.openxmlformats.org/officeDocument/2006/relationships/hyperlink" Target="https://maker.ac.id/index.php/maker/article/view/285" TargetMode="External"/><Relationship Id="rId35" Type="http://schemas.openxmlformats.org/officeDocument/2006/relationships/hyperlink" Target="https://media.neliti.com/media/publications/454063-none-9ed20a18.pdf" TargetMode="External"/><Relationship Id="rId34" Type="http://schemas.openxmlformats.org/officeDocument/2006/relationships/hyperlink" Target="https://journal.uniku.ac.id/index.php/ijsm/article/view/4085" TargetMode="External"/><Relationship Id="rId739" Type="http://schemas.openxmlformats.org/officeDocument/2006/relationships/hyperlink" Target="https://repository.penerbiteureka.com/publications/579969/akuntansi-syariah" TargetMode="External"/><Relationship Id="rId734" Type="http://schemas.openxmlformats.org/officeDocument/2006/relationships/hyperlink" Target="https://repository.stiesurakarta.ac.id/submission/6164be24-372d-4c72-8aa8-dac3756fa6c5" TargetMode="External"/><Relationship Id="rId733" Type="http://schemas.openxmlformats.org/officeDocument/2006/relationships/hyperlink" Target="https://ejurnal.kampusakademik.co.id/index.php/jiem/article/view/2506" TargetMode="External"/><Relationship Id="rId732" Type="http://schemas.openxmlformats.org/officeDocument/2006/relationships/hyperlink" Target="https://repository.stiesurakarta.ac.id/submission/ac7b24f1-3992-437c-92c2-802165187d16" TargetMode="External"/><Relationship Id="rId731" Type="http://schemas.openxmlformats.org/officeDocument/2006/relationships/hyperlink" Target="https://repository.stiesurakarta.ac.id/submission/7c25586f-04db-40fa-84da-d1795d566bcc" TargetMode="External"/><Relationship Id="rId738" Type="http://schemas.openxmlformats.org/officeDocument/2006/relationships/hyperlink" Target="https://repository.stiesurakarta.ac.id/submission/9199beff-075f-44bd-b96b-e6de100cc5d3" TargetMode="External"/><Relationship Id="rId737" Type="http://schemas.openxmlformats.org/officeDocument/2006/relationships/hyperlink" Target="https://repository.stiesurakarta.ac.id/submission/c54c51a7-8e55-48f1-872c-e74a917eaf34" TargetMode="External"/><Relationship Id="rId736" Type="http://schemas.openxmlformats.org/officeDocument/2006/relationships/hyperlink" Target="https://repository.stiesurakarta.ac.id/submission/dac31382-7a23-4a67-9b7a-4e1b733d38ca" TargetMode="External"/><Relationship Id="rId735" Type="http://schemas.openxmlformats.org/officeDocument/2006/relationships/hyperlink" Target="https://repository.stiesurakarta.ac.id/submission/17c3af7c-d03a-43fe-90bf-3db5efac6690" TargetMode="External"/><Relationship Id="rId37" Type="http://schemas.openxmlformats.org/officeDocument/2006/relationships/hyperlink" Target="https://jurnal.stiesurakarta.ac.id/index.php/jebdeker" TargetMode="External"/><Relationship Id="rId36" Type="http://schemas.openxmlformats.org/officeDocument/2006/relationships/hyperlink" Target="https://jurnal.stiesurakarta.ac.id/index.php/jebdeker" TargetMode="External"/><Relationship Id="rId39" Type="http://schemas.openxmlformats.org/officeDocument/2006/relationships/hyperlink" Target="http://jurnal.unsil.ac.id/index.php/jem/index" TargetMode="External"/><Relationship Id="rId38" Type="http://schemas.openxmlformats.org/officeDocument/2006/relationships/hyperlink" Target="https://journal.universitasbumigora.ac.id/index.php/target/article/view/1196" TargetMode="External"/><Relationship Id="rId730" Type="http://schemas.openxmlformats.org/officeDocument/2006/relationships/hyperlink" Target="https://repository.stiesurakarta.ac.id/submission/13abc10f-4ef1-47f1-a7b9-be2c8c62f495" TargetMode="External"/><Relationship Id="rId20" Type="http://schemas.openxmlformats.org/officeDocument/2006/relationships/hyperlink" Target="https://jurnal.unigal.ac.id/bmej/article/view/5101" TargetMode="External"/><Relationship Id="rId22" Type="http://schemas.openxmlformats.org/officeDocument/2006/relationships/hyperlink" Target="http://jurnal.unsil.ac.id/index.php/jem" TargetMode="External"/><Relationship Id="rId21" Type="http://schemas.openxmlformats.org/officeDocument/2006/relationships/hyperlink" Target="http://jurnal.unsil.ac.id/index.php/jem/index" TargetMode="External"/><Relationship Id="rId24" Type="http://schemas.openxmlformats.org/officeDocument/2006/relationships/hyperlink" Target="https://jurnal.stiesurakarta.ac.id/index.php/jebdeker/article/view/168" TargetMode="External"/><Relationship Id="rId23" Type="http://schemas.openxmlformats.org/officeDocument/2006/relationships/hyperlink" Target="http://jurnal.unsil.ac.id/index.php/jem" TargetMode="External"/><Relationship Id="rId525" Type="http://schemas.openxmlformats.org/officeDocument/2006/relationships/hyperlink" Target="https://jmi.rivierapublishing.id/index.php/rp/article/view/436" TargetMode="External"/><Relationship Id="rId767" Type="http://schemas.openxmlformats.org/officeDocument/2006/relationships/hyperlink" Target="https://ejournal.utp.ac.id/index.php/ganesha/article/view/4303" TargetMode="External"/><Relationship Id="rId524" Type="http://schemas.openxmlformats.org/officeDocument/2006/relationships/hyperlink" Target="https://bajangjournal.com/index.php/JPDSH/article/view/6447" TargetMode="External"/><Relationship Id="rId766" Type="http://schemas.openxmlformats.org/officeDocument/2006/relationships/hyperlink" Target="https://bajangjournal.com/index.php/J-ABDI/article/view/9002" TargetMode="External"/><Relationship Id="rId523" Type="http://schemas.openxmlformats.org/officeDocument/2006/relationships/hyperlink" Target="https://jmi.rivierapublishing.id/index.php/rp/article/view/436" TargetMode="External"/><Relationship Id="rId765" Type="http://schemas.openxmlformats.org/officeDocument/2006/relationships/hyperlink" Target="https://jurnalpengabdian.stiesurakarta.ac.id/index.php/Dms/article/view/126" TargetMode="External"/><Relationship Id="rId522" Type="http://schemas.openxmlformats.org/officeDocument/2006/relationships/hyperlink" Target="https://ejournal.uika-bogor.ac.id/index.php/INOVATOR/article/view/17627" TargetMode="External"/><Relationship Id="rId764" Type="http://schemas.openxmlformats.org/officeDocument/2006/relationships/hyperlink" Target="https://jurnal.stiesurakarta.ac.id/index.php/jebdeker/article/view/793" TargetMode="External"/><Relationship Id="rId529" Type="http://schemas.openxmlformats.org/officeDocument/2006/relationships/hyperlink" Target="https://jurnal.stie-aas.ac.id/index.php/jie/article/view/9185" TargetMode="External"/><Relationship Id="rId528" Type="http://schemas.openxmlformats.org/officeDocument/2006/relationships/hyperlink" Target="https://drive.google.com/file/d/1dM6NgI3rMIcm2Pess6WSZJzmYWgztl1e/view?usp=drive_link" TargetMode="External"/><Relationship Id="rId527" Type="http://schemas.openxmlformats.org/officeDocument/2006/relationships/hyperlink" Target="https://www.researchgate.net/publication/371627067_Strategi_Kspps_Bmt_Syamil_Ampel_Menuju_Ekspansi" TargetMode="External"/><Relationship Id="rId769" Type="http://schemas.openxmlformats.org/officeDocument/2006/relationships/hyperlink" Target="https://ejournal.stih-awanglong.ac.id/index.php/awal/article/view/1408" TargetMode="External"/><Relationship Id="rId526" Type="http://schemas.openxmlformats.org/officeDocument/2006/relationships/hyperlink" Target="https://drive.google.com/file/d/196O1Sob1cVjW3-NHFNsSDkqJTOScqlSH/view?usp=sharing" TargetMode="External"/><Relationship Id="rId768" Type="http://schemas.openxmlformats.org/officeDocument/2006/relationships/hyperlink" Target="https://prosiding.areai.or.id/index.php/ICEAT/article/view/88/112" TargetMode="External"/><Relationship Id="rId26" Type="http://schemas.openxmlformats.org/officeDocument/2006/relationships/hyperlink" Target="https://jurnal.stiesurakarta.ac.id/index.php/jebdeker" TargetMode="External"/><Relationship Id="rId25" Type="http://schemas.openxmlformats.org/officeDocument/2006/relationships/hyperlink" Target="https://jurnal.unigal.ac.id/bmej/article/view/4938" TargetMode="External"/><Relationship Id="rId28" Type="http://schemas.openxmlformats.org/officeDocument/2006/relationships/hyperlink" Target="https://e-journal.stiekusumanegara.ac.id/index.php/jrbee/article/view/202" TargetMode="External"/><Relationship Id="rId27" Type="http://schemas.openxmlformats.org/officeDocument/2006/relationships/hyperlink" Target="http://jurnal.unsil.ac.id/index.php/jem/author/submission/2937" TargetMode="External"/><Relationship Id="rId521" Type="http://schemas.openxmlformats.org/officeDocument/2006/relationships/hyperlink" Target="https://drive.google.com/file/d/1L1Pk8bKiOWHvJR97SYQ0RpB_xGOY9_wZ/view?usp=sharing" TargetMode="External"/><Relationship Id="rId763" Type="http://schemas.openxmlformats.org/officeDocument/2006/relationships/hyperlink" Target="https://jurnalpengabdian.stiesurakarta.ac.id/index.php/Dms/article/view/120" TargetMode="External"/><Relationship Id="rId29" Type="http://schemas.openxmlformats.org/officeDocument/2006/relationships/hyperlink" Target="https://www.neliti.com/id/publications/454627/faktor-faktor-yang-mempengaruhi-konsumen-untuk-melakukan-pembelian-perumahan-sub" TargetMode="External"/><Relationship Id="rId520" Type="http://schemas.openxmlformats.org/officeDocument/2006/relationships/hyperlink" Target="https://journalshub.org/index.php/jebaku/article/view/2031" TargetMode="External"/><Relationship Id="rId762" Type="http://schemas.openxmlformats.org/officeDocument/2006/relationships/hyperlink" Target="https://jurnalpengabdian.stiesurakarta.ac.id/index.php/Dms/article/view/116?__cf_chl_tk=bZj0Yx02D587NlecDii7yMqikqgTAhcqlODqmklcpkI-1748228838-1.0.1.1-rRMIatFaiBVvisKRbBEAN.pM9R9RF4NhWWtM4LeuoUo" TargetMode="External"/><Relationship Id="rId761" Type="http://schemas.openxmlformats.org/officeDocument/2006/relationships/hyperlink" Target="https://jurnal.stiesurakarta.ac.id/index.php/jebdeker/article/view/804" TargetMode="External"/><Relationship Id="rId760" Type="http://schemas.openxmlformats.org/officeDocument/2006/relationships/hyperlink" Target="https://jurnal.stiesurakarta.ac.id/index.php/jebdeker/article/view/799" TargetMode="External"/><Relationship Id="rId11" Type="http://schemas.openxmlformats.org/officeDocument/2006/relationships/hyperlink" Target="https://ejournal.uika-bogor.ac.id/index.php/Manager/issue/archive" TargetMode="External"/><Relationship Id="rId10" Type="http://schemas.openxmlformats.org/officeDocument/2006/relationships/hyperlink" Target="https://ejournal.urindo.ac.id/index.php/administrasimanajemen/issue/archive" TargetMode="External"/><Relationship Id="rId13" Type="http://schemas.openxmlformats.org/officeDocument/2006/relationships/hyperlink" Target="https://e-journal.naureendigition.com/index.php/pmb/issue/archive" TargetMode="External"/><Relationship Id="rId12" Type="http://schemas.openxmlformats.org/officeDocument/2006/relationships/hyperlink" Target="https://jurnal.stie-aas.ac.id/index.php/jie/issue/archive" TargetMode="External"/><Relationship Id="rId519" Type="http://schemas.openxmlformats.org/officeDocument/2006/relationships/hyperlink" Target="https://jurnal.anfa.co.id/index.php/mufakat/article/view/1021" TargetMode="External"/><Relationship Id="rId514" Type="http://schemas.openxmlformats.org/officeDocument/2006/relationships/hyperlink" Target="https://www.researchgate.net/publication/378594529_FAKTOR-FAKTOR_YANG_MEMPENGARUHI_PENDAPATAN_UMKM_PRODUSEN_SUSU_SAPI_DI_BOYOLALI" TargetMode="External"/><Relationship Id="rId756" Type="http://schemas.openxmlformats.org/officeDocument/2006/relationships/hyperlink" Target="https://drive.google.com/file/d/1vGcQ6mDsHzUcyLE6dV5tBTvRZ3W-3yJw/view?usp=drive_link" TargetMode="External"/><Relationship Id="rId513" Type="http://schemas.openxmlformats.org/officeDocument/2006/relationships/hyperlink" Target="https://www.researchgate.net/publication/378594532_PENGARUH_PENGETAHUAN_INVESTASI_MODAL_AWAL_INVESTASI_DAN_SOSIAL_MEDIA_INFLUENCER_TERHADAP_MINAT_BERINVESTASI_MAHASISWA_DI_PASAR_MODAL_STUDI_EMPIRIS_PADA_SEKOLAH_TINGGI_ILMU_EKONOMI_SURAKARTA/fulltext/65e1350ec3b52a117001d51b/PENGARUH-PENGETAHUAN-INVESTASI-MODAL-AWAL-INVESTASI-DAN-SOSIAL-MEDIA-INFLUENCER-TERHADAP-MINAT-BERINVESTASI-MAHASISWA-DI-PASAR-MODAL-STUDI-EMPIRIS-PADA-SEKOLAH-TINGGI-ILMU-EKONOMI-SURAKARTA.pdf" TargetMode="External"/><Relationship Id="rId755" Type="http://schemas.openxmlformats.org/officeDocument/2006/relationships/hyperlink" Target="https://jurnalpengabdian.stiesurakarta.ac.id/index.php/Dms/article/view/132" TargetMode="External"/><Relationship Id="rId512" Type="http://schemas.openxmlformats.org/officeDocument/2006/relationships/hyperlink" Target="https://jurnal.alimspublishing.co.id/index.php/jis/article/view/322/269" TargetMode="External"/><Relationship Id="rId754" Type="http://schemas.openxmlformats.org/officeDocument/2006/relationships/hyperlink" Target="https://jurnalpengabdian.stiesurakarta.ac.id/index.php/Dms/article/view/127" TargetMode="External"/><Relationship Id="rId511" Type="http://schemas.openxmlformats.org/officeDocument/2006/relationships/hyperlink" Target="https://jurnal.stie-aas.ac.id/index.php/jie/article/view/9989" TargetMode="External"/><Relationship Id="rId753" Type="http://schemas.openxmlformats.org/officeDocument/2006/relationships/hyperlink" Target="https://journal.sinov.id/index.php/sinoveka/article/view/836?articlesBySimilarityPage=3" TargetMode="External"/><Relationship Id="rId518" Type="http://schemas.openxmlformats.org/officeDocument/2006/relationships/hyperlink" Target="https://journal.uniku.ac.id/index.php/jrka/article/view/8749" TargetMode="External"/><Relationship Id="rId517" Type="http://schemas.openxmlformats.org/officeDocument/2006/relationships/hyperlink" Target="https://bajangjournal.com/index.php/JCI/article/view/6385" TargetMode="External"/><Relationship Id="rId759" Type="http://schemas.openxmlformats.org/officeDocument/2006/relationships/hyperlink" Target="https://gemapublisher.com/index.php/jssbs/article/view/121" TargetMode="External"/><Relationship Id="rId516" Type="http://schemas.openxmlformats.org/officeDocument/2006/relationships/hyperlink" Target="https://jurnalpengabdian.stiesurakarta.ac.id/index.php/Dms/article/view/31" TargetMode="External"/><Relationship Id="rId758" Type="http://schemas.openxmlformats.org/officeDocument/2006/relationships/hyperlink" Target="https://gemapublisher.com/index.php/jssbs/article/view/120" TargetMode="External"/><Relationship Id="rId515" Type="http://schemas.openxmlformats.org/officeDocument/2006/relationships/hyperlink" Target="https://drive.google.com/file/d/1VXF5oS3sDvJ_POfACqZ3emHYKzA4dEhI/view?usp=sharing" TargetMode="External"/><Relationship Id="rId757" Type="http://schemas.openxmlformats.org/officeDocument/2006/relationships/hyperlink" Target="https://journal.stiemb.ac.id/index.php/mea/article/view/4710" TargetMode="External"/><Relationship Id="rId15" Type="http://schemas.openxmlformats.org/officeDocument/2006/relationships/hyperlink" Target="https://ejournal.utmj.ac.id/index.php/ekobis/article/view/292" TargetMode="External"/><Relationship Id="rId14" Type="http://schemas.openxmlformats.org/officeDocument/2006/relationships/hyperlink" Target="http://jurnal.unsil.ac.id/index.php/jem/author" TargetMode="External"/><Relationship Id="rId17" Type="http://schemas.openxmlformats.org/officeDocument/2006/relationships/hyperlink" Target="https://e-jurnal.nobel.ac.id/index.php/massaro" TargetMode="External"/><Relationship Id="rId16" Type="http://schemas.openxmlformats.org/officeDocument/2006/relationships/hyperlink" Target="https://jurnal.stie-aas.ac.id/index.php/jie/article/download/5745/pdf" TargetMode="External"/><Relationship Id="rId19" Type="http://schemas.openxmlformats.org/officeDocument/2006/relationships/hyperlink" Target="https://journal.uniku.ac.id/index.php/ijsm/article/view/4055" TargetMode="External"/><Relationship Id="rId510" Type="http://schemas.openxmlformats.org/officeDocument/2006/relationships/hyperlink" Target="https://ejournal.goacademica.com/index.php/jk/article/view/715" TargetMode="External"/><Relationship Id="rId752" Type="http://schemas.openxmlformats.org/officeDocument/2006/relationships/hyperlink" Target="https://journal.umpo.ac.id/index.php/ASSET/article/view/7677" TargetMode="External"/><Relationship Id="rId18" Type="http://schemas.openxmlformats.org/officeDocument/2006/relationships/hyperlink" Target="https://ejurnal.bunghatta.ac.id/index.php/JMN/issue/view/827" TargetMode="External"/><Relationship Id="rId751" Type="http://schemas.openxmlformats.org/officeDocument/2006/relationships/hyperlink" Target="https://prosiding.areai.or.id/index.php/ICEAT/article/view/34" TargetMode="External"/><Relationship Id="rId750" Type="http://schemas.openxmlformats.org/officeDocument/2006/relationships/hyperlink" Target="https://drive.google.com/file/d/14Wk3c6U07nYgxRGgc818Xy7fechf2tLE/view?usp=drive_link" TargetMode="External"/><Relationship Id="rId84" Type="http://schemas.openxmlformats.org/officeDocument/2006/relationships/hyperlink" Target="https://jurnal.pknstan.ac.id/index.php/sembadha/article/view/1473" TargetMode="External"/><Relationship Id="rId83" Type="http://schemas.openxmlformats.org/officeDocument/2006/relationships/hyperlink" Target="https://jurnal.stie-aas.ac.id/index.php/jap" TargetMode="External"/><Relationship Id="rId86" Type="http://schemas.openxmlformats.org/officeDocument/2006/relationships/hyperlink" Target="https://jurnal.stie-aas.ac.id/index.php/IJEBAR/article/view/2092" TargetMode="External"/><Relationship Id="rId85" Type="http://schemas.openxmlformats.org/officeDocument/2006/relationships/hyperlink" Target="https://journals.researchsynergypress.com/index.php/ijebce/article/view/448" TargetMode="External"/><Relationship Id="rId88" Type="http://schemas.openxmlformats.org/officeDocument/2006/relationships/hyperlink" Target="https://ejournals.umma.ac.id/index.php/point/article/view/880" TargetMode="External"/><Relationship Id="rId87" Type="http://schemas.openxmlformats.org/officeDocument/2006/relationships/hyperlink" Target="https://plj.ac.id/ojs/index.php/jrlab/article/view/439" TargetMode="External"/><Relationship Id="rId89" Type="http://schemas.openxmlformats.org/officeDocument/2006/relationships/hyperlink" Target="https://journal.universitasbumigora.ac.id/index.php/target/article/view/1169" TargetMode="External"/><Relationship Id="rId709" Type="http://schemas.openxmlformats.org/officeDocument/2006/relationships/hyperlink" Target="https://repository.stiesurakarta.ac.id/submission/50bb348e-8b77-4cba-bef3-edb6dd00274a" TargetMode="External"/><Relationship Id="rId708" Type="http://schemas.openxmlformats.org/officeDocument/2006/relationships/hyperlink" Target="https://jurnaluniv45sby.ac.id/index.php/Inisiatif/article/view/3081" TargetMode="External"/><Relationship Id="rId707" Type="http://schemas.openxmlformats.org/officeDocument/2006/relationships/hyperlink" Target="https://repository.stiesurakarta.ac.id/submission/61c9fecc-8728-4574-95a5-d665bda3455e" TargetMode="External"/><Relationship Id="rId949" Type="http://schemas.openxmlformats.org/officeDocument/2006/relationships/hyperlink" Target="https://ejournal.unhasy.ac.id/index.php/discovery/article/view/10467" TargetMode="External"/><Relationship Id="rId706" Type="http://schemas.openxmlformats.org/officeDocument/2006/relationships/hyperlink" Target="https://bajangjournal.com/index.php/JEMBA/article/view/8488" TargetMode="External"/><Relationship Id="rId948" Type="http://schemas.openxmlformats.org/officeDocument/2006/relationships/hyperlink" Target="https://ejournal.unhasy.ac.id/index.php/discovery/article/view/10459" TargetMode="External"/><Relationship Id="rId80" Type="http://schemas.openxmlformats.org/officeDocument/2006/relationships/hyperlink" Target="https://journal.umy.ac.id/index.php/rab/article/view/11409" TargetMode="External"/><Relationship Id="rId82" Type="http://schemas.openxmlformats.org/officeDocument/2006/relationships/hyperlink" Target="https://journals.ums.ac.id/index.php/dayasaing/article/view/13739" TargetMode="External"/><Relationship Id="rId81" Type="http://schemas.openxmlformats.org/officeDocument/2006/relationships/hyperlink" Target="https://jurnal.stie-aas.ac.id/index.php/jap" TargetMode="External"/><Relationship Id="rId701" Type="http://schemas.openxmlformats.org/officeDocument/2006/relationships/hyperlink" Target="https://repository.stiesurakarta.ac.id/submission/2efbc432-406d-4cd6-9051-bf3f0d1318d5" TargetMode="External"/><Relationship Id="rId943" Type="http://schemas.openxmlformats.org/officeDocument/2006/relationships/hyperlink" Target="https://repository.penerbiteureka.com/media/publications/618822-auditing-transformasi-dan-inovasi-di-era-fc75d303.pdf?utm_source=chatgpt.com" TargetMode="External"/><Relationship Id="rId700" Type="http://schemas.openxmlformats.org/officeDocument/2006/relationships/hyperlink" Target="https://jurnalintelektiva.com/index.php/jurnal/article/view/1088" TargetMode="External"/><Relationship Id="rId942" Type="http://schemas.openxmlformats.org/officeDocument/2006/relationships/hyperlink" Target="https://penerbiteureka.com/2025/05/14/auditing-transformasi-dan-inovasi-di-era-digital/" TargetMode="External"/><Relationship Id="rId941" Type="http://schemas.openxmlformats.org/officeDocument/2006/relationships/hyperlink" Target="https://jab.fe.uns.ac.id/index.php/jab/article/view/1314" TargetMode="External"/><Relationship Id="rId940" Type="http://schemas.openxmlformats.org/officeDocument/2006/relationships/hyperlink" Target="https://journal.uii.ac.id/JAMALI/article/view/36531" TargetMode="External"/><Relationship Id="rId705" Type="http://schemas.openxmlformats.org/officeDocument/2006/relationships/hyperlink" Target="https://journal.unimar-amni.ac.id/index.php/EBISMEN/article/view/2427" TargetMode="External"/><Relationship Id="rId947" Type="http://schemas.openxmlformats.org/officeDocument/2006/relationships/hyperlink" Target="https://jurnal.mediaakademik.com/index.php/jma/article/view/2912" TargetMode="External"/><Relationship Id="rId704" Type="http://schemas.openxmlformats.org/officeDocument/2006/relationships/hyperlink" Target="https://journal.uyr.ac.id/index.php/BBM/article/view/713" TargetMode="External"/><Relationship Id="rId946" Type="http://schemas.openxmlformats.org/officeDocument/2006/relationships/hyperlink" Target="https://repository.stiesurakarta.ac.id/submission/fdc61e36-5cb6-4e7e-a322-73cb90bc3522" TargetMode="External"/><Relationship Id="rId703" Type="http://schemas.openxmlformats.org/officeDocument/2006/relationships/hyperlink" Target="https://ejournal.warunayama.org/index.php/musytarineraca/article/view/5042" TargetMode="External"/><Relationship Id="rId945" Type="http://schemas.openxmlformats.org/officeDocument/2006/relationships/hyperlink" Target="http://jurnal.tintaemas.id/index.php/sehati/article/view/465" TargetMode="External"/><Relationship Id="rId702" Type="http://schemas.openxmlformats.org/officeDocument/2006/relationships/hyperlink" Target="https://repository.stiesurakarta.ac.id/submission/37b41e77-73d6-4f50-b115-013bf95ec0f8" TargetMode="External"/><Relationship Id="rId944" Type="http://schemas.openxmlformats.org/officeDocument/2006/relationships/hyperlink" Target="https://repository.penerbiteureka.com/media/publications/610870-akuntansi-manajemen-6ebba321.pdf?utm_source=chatgpt.com" TargetMode="External"/><Relationship Id="rId73" Type="http://schemas.openxmlformats.org/officeDocument/2006/relationships/hyperlink" Target="https://online-journal.unja.ac.id/paradigma/article/view/12079" TargetMode="External"/><Relationship Id="rId72" Type="http://schemas.openxmlformats.org/officeDocument/2006/relationships/hyperlink" Target="http://jurnal.unsil.ac.id/index.php/jak" TargetMode="External"/><Relationship Id="rId75" Type="http://schemas.openxmlformats.org/officeDocument/2006/relationships/hyperlink" Target="https://e-journal.unair.ac.id/BAKI/article/view/25504" TargetMode="External"/><Relationship Id="rId74" Type="http://schemas.openxmlformats.org/officeDocument/2006/relationships/hyperlink" Target="https://jurnal.stiesurakarta.ac.id/index.php/jebdeker/article/view/58" TargetMode="External"/><Relationship Id="rId77" Type="http://schemas.openxmlformats.org/officeDocument/2006/relationships/hyperlink" Target="https://journal.uniku.ac.id/index.php/jrka/article/view/8344" TargetMode="External"/><Relationship Id="rId76" Type="http://schemas.openxmlformats.org/officeDocument/2006/relationships/hyperlink" Target="https://financial.ac.id/index.php/financial/article/view/211" TargetMode="External"/><Relationship Id="rId79" Type="http://schemas.openxmlformats.org/officeDocument/2006/relationships/hyperlink" Target="https://jurnal.stie-aas.ac.id/index.php/jap/author" TargetMode="External"/><Relationship Id="rId78" Type="http://schemas.openxmlformats.org/officeDocument/2006/relationships/hyperlink" Target="https://e-journal.unair.ac.id/BAKI/article/view/25500" TargetMode="External"/><Relationship Id="rId939" Type="http://schemas.openxmlformats.org/officeDocument/2006/relationships/hyperlink" Target="https://jurnal.ugm.ac.id/abis/article/view/105176" TargetMode="External"/><Relationship Id="rId938" Type="http://schemas.openxmlformats.org/officeDocument/2006/relationships/hyperlink" Target="https://jurnal.stie-aas.ac.id/index.php/jap/article/view/17322" TargetMode="External"/><Relationship Id="rId937" Type="http://schemas.openxmlformats.org/officeDocument/2006/relationships/hyperlink" Target="https://jurnal.unai.edu/index.php/jtimb/article/view/4015" TargetMode="External"/><Relationship Id="rId71" Type="http://schemas.openxmlformats.org/officeDocument/2006/relationships/hyperlink" Target="https://jurnal.stie-aas.ac.id/index.php/jei/article/view/3623" TargetMode="External"/><Relationship Id="rId70" Type="http://schemas.openxmlformats.org/officeDocument/2006/relationships/hyperlink" Target="http://jurnal.unsil.ac.id/index.php/jak/index" TargetMode="External"/><Relationship Id="rId932" Type="http://schemas.openxmlformats.org/officeDocument/2006/relationships/hyperlink" Target="https://ejournal.utp.ac.id/index.php/JPF/article/view/5175" TargetMode="External"/><Relationship Id="rId931" Type="http://schemas.openxmlformats.org/officeDocument/2006/relationships/hyperlink" Target="https://jurnal.stiesurakarta.ac.id/index.php/jebdeker/article/view/861" TargetMode="External"/><Relationship Id="rId930" Type="http://schemas.openxmlformats.org/officeDocument/2006/relationships/hyperlink" Target="https://jurnalpengabdian.stiesurakarta.ac.id/index.php/Dms/article/view/161" TargetMode="External"/><Relationship Id="rId936" Type="http://schemas.openxmlformats.org/officeDocument/2006/relationships/hyperlink" Target="https://drive.google.com/file/d/1_3PJVDjQF-sdikp7-K8bU8W3TteRIsfc/view?usp=drive_link" TargetMode="External"/><Relationship Id="rId935" Type="http://schemas.openxmlformats.org/officeDocument/2006/relationships/hyperlink" Target="https://jurnal.unai.edu/index.php/jtimb/article/view/4016" TargetMode="External"/><Relationship Id="rId934" Type="http://schemas.openxmlformats.org/officeDocument/2006/relationships/hyperlink" Target="https://bengawan.poltekindonusa.ac.id/index.php/jurnal_bengawan/article/view/182" TargetMode="External"/><Relationship Id="rId933" Type="http://schemas.openxmlformats.org/officeDocument/2006/relationships/hyperlink" Target="https://drive.google.com/file/d/1ULdAyeYKbk9HxscPkbceFg8xFPk9QeDZ/view?usp=drive_link" TargetMode="External"/><Relationship Id="rId62" Type="http://schemas.openxmlformats.org/officeDocument/2006/relationships/hyperlink" Target="https://jurnal.stiesurakarta.ac.id/index.php/jebdeker/authordashboard/submission/71" TargetMode="External"/><Relationship Id="rId61" Type="http://schemas.openxmlformats.org/officeDocument/2006/relationships/hyperlink" Target="https://www.semanticscholar.org/paper/PENGARUH-VARIABEL-REPUTASI%2C-KEAMANAN%2C-DAN-KEMUDAHAN-Selviana-Istiyanto/9bf15443ac98cc566ce3823bdbf096305682d2c9?utm_source=direct_link" TargetMode="External"/><Relationship Id="rId64" Type="http://schemas.openxmlformats.org/officeDocument/2006/relationships/hyperlink" Target="https://jurnal.unsil.ac.id/index.php/jem" TargetMode="External"/><Relationship Id="rId63" Type="http://schemas.openxmlformats.org/officeDocument/2006/relationships/hyperlink" Target="https://jurnal.unsil.ac.id/index.php/jem" TargetMode="External"/><Relationship Id="rId66" Type="http://schemas.openxmlformats.org/officeDocument/2006/relationships/hyperlink" Target="https://jim.usk.ac.id/EKA/article/view/16438" TargetMode="External"/><Relationship Id="rId65" Type="http://schemas.openxmlformats.org/officeDocument/2006/relationships/hyperlink" Target="https://jurnal.unsil.ac.id/index.php/jem" TargetMode="External"/><Relationship Id="rId68" Type="http://schemas.openxmlformats.org/officeDocument/2006/relationships/hyperlink" Target="http://jurnal.unsil.ac.id/index.php/jak" TargetMode="External"/><Relationship Id="rId67" Type="http://schemas.openxmlformats.org/officeDocument/2006/relationships/hyperlink" Target="https://e-journal.unipma.ac.id/index.php/inventory/article/view/8614" TargetMode="External"/><Relationship Id="rId729" Type="http://schemas.openxmlformats.org/officeDocument/2006/relationships/hyperlink" Target="https://repository.stiesurakarta.ac.id/submission/7292e269-518e-48ca-a765-591d7c3aeb99" TargetMode="External"/><Relationship Id="rId728" Type="http://schemas.openxmlformats.org/officeDocument/2006/relationships/hyperlink" Target="https://sunanbonang.org/index.php/miftah/article/view/241" TargetMode="External"/><Relationship Id="rId60" Type="http://schemas.openxmlformats.org/officeDocument/2006/relationships/hyperlink" Target="https://ijersc.org" TargetMode="External"/><Relationship Id="rId723" Type="http://schemas.openxmlformats.org/officeDocument/2006/relationships/hyperlink" Target="https://repository.stiesurakarta.ac.id/submission/34866265-9f28-42a1-b15f-517259a3cffc" TargetMode="External"/><Relationship Id="rId722" Type="http://schemas.openxmlformats.org/officeDocument/2006/relationships/hyperlink" Target="https://repository.stiesurakarta.ac.id/submission/ad0ac821-01e2-42ec-a8f3-0c6a5d6d462c" TargetMode="External"/><Relationship Id="rId721" Type="http://schemas.openxmlformats.org/officeDocument/2006/relationships/hyperlink" Target="https://repository.stiesurakarta.ac.id/submission/9c74c004-d035-422b-a843-f52d949dcb8e" TargetMode="External"/><Relationship Id="rId720" Type="http://schemas.openxmlformats.org/officeDocument/2006/relationships/hyperlink" Target="https://repository.stiesurakarta.ac.id/submission/ddba1acf-f4fc-4e48-bfff-e8d97c686e8e" TargetMode="External"/><Relationship Id="rId727" Type="http://schemas.openxmlformats.org/officeDocument/2006/relationships/hyperlink" Target="https://repository.stiesurakarta.ac.id/submission/14025f77-dc64-4733-b81a-41865d958293" TargetMode="External"/><Relationship Id="rId726" Type="http://schemas.openxmlformats.org/officeDocument/2006/relationships/hyperlink" Target="https://journal.areai.or.id/index.php/MENAWAN/article/view/853" TargetMode="External"/><Relationship Id="rId725" Type="http://schemas.openxmlformats.org/officeDocument/2006/relationships/hyperlink" Target="https://repository.stiesurakarta.ac.id/submission/07c5ffb8-9b3a-462b-a25b-47a05642ba9e" TargetMode="External"/><Relationship Id="rId724" Type="http://schemas.openxmlformats.org/officeDocument/2006/relationships/hyperlink" Target="https://jurnal.itbsemarang.ac.id/index.php/JREA/article/view/2357" TargetMode="External"/><Relationship Id="rId69" Type="http://schemas.openxmlformats.org/officeDocument/2006/relationships/hyperlink" Target="https://jurnal.stie-aas.ac.id/index.php/jap" TargetMode="External"/><Relationship Id="rId51" Type="http://schemas.openxmlformats.org/officeDocument/2006/relationships/hyperlink" Target="https://ojs.unimal.ac.id/jmi/article/view/4870" TargetMode="External"/><Relationship Id="rId50" Type="http://schemas.openxmlformats.org/officeDocument/2006/relationships/hyperlink" Target="http://jurnal.unsil.ac.id/index.php/jem" TargetMode="External"/><Relationship Id="rId53" Type="http://schemas.openxmlformats.org/officeDocument/2006/relationships/hyperlink" Target="http://jurnal.unsil.ac.id/index.php/jem/author" TargetMode="External"/><Relationship Id="rId52" Type="http://schemas.openxmlformats.org/officeDocument/2006/relationships/hyperlink" Target="https://journal.uniku.ac.id/index.php/ijsm/article/view/4059" TargetMode="External"/><Relationship Id="rId55" Type="http://schemas.openxmlformats.org/officeDocument/2006/relationships/hyperlink" Target="https://www.semanticscholar.org/paper/Pengaruh-Motivasi%2C-Kompetensi%2C-Disiplin-Kerja-dan-Murti-Mutmainah/a0fe8979e59b4e8a76fd28695e43bbdcdf67dabb?utm_source=direct_link" TargetMode="External"/><Relationship Id="rId54" Type="http://schemas.openxmlformats.org/officeDocument/2006/relationships/hyperlink" Target="https://iocscience.org/ejournal/index.php/mantik/article/view/1195" TargetMode="External"/><Relationship Id="rId57" Type="http://schemas.openxmlformats.org/officeDocument/2006/relationships/hyperlink" Target="https://publikasi.mercubuana.ac.id/index.php/jdm/article/view/12110" TargetMode="External"/><Relationship Id="rId56" Type="http://schemas.openxmlformats.org/officeDocument/2006/relationships/hyperlink" Target="http://jurnal.unsil.ac.id/index.php/jem" TargetMode="External"/><Relationship Id="rId719" Type="http://schemas.openxmlformats.org/officeDocument/2006/relationships/hyperlink" Target="https://repository.stiesurakarta.ac.id/submission/94096bbc-f343-4188-9e25-7249f8cfd22a" TargetMode="External"/><Relationship Id="rId718" Type="http://schemas.openxmlformats.org/officeDocument/2006/relationships/hyperlink" Target="https://repository.stiesurakarta.ac.id/submission/3d4bb08d-9897-47bd-8253-77baefc89e7a" TargetMode="External"/><Relationship Id="rId717" Type="http://schemas.openxmlformats.org/officeDocument/2006/relationships/hyperlink" Target="https://ejurnal.stie-trianandra.ac.id/index.php/jumia/article/view/3313" TargetMode="External"/><Relationship Id="rId712" Type="http://schemas.openxmlformats.org/officeDocument/2006/relationships/hyperlink" Target="https://repository.stiesurakarta.ac.id/submission/76f56669-5913-4bf3-84c1-0cfe5867690c" TargetMode="External"/><Relationship Id="rId954" Type="http://schemas.openxmlformats.org/officeDocument/2006/relationships/hyperlink" Target="https://mika.stiesurakarta.ac.id/uploads/files/thesis_guidance/publish_attachment/5ef23447-5ac5-4bf0-97bf-5f524d9965e7/1762612916_LoA%20Novia%20Putri%20Damayanti%201641.pdf" TargetMode="External"/><Relationship Id="rId711" Type="http://schemas.openxmlformats.org/officeDocument/2006/relationships/hyperlink" Target="https://repository.stiesurakarta.ac.id/submission/ef352d4f-cd05-4eeb-9f03-b1b58ac5d9f5" TargetMode="External"/><Relationship Id="rId953" Type="http://schemas.openxmlformats.org/officeDocument/2006/relationships/hyperlink" Target="https://openjournal.unpam.ac.id/index.php/Inovasi/about/submissions" TargetMode="External"/><Relationship Id="rId710" Type="http://schemas.openxmlformats.org/officeDocument/2006/relationships/hyperlink" Target="https://journal.areai.or.id/index.php/SANTRI/article/view/844" TargetMode="External"/><Relationship Id="rId952" Type="http://schemas.openxmlformats.org/officeDocument/2006/relationships/hyperlink" Target="https://jurnal.risetilmiah.ac.id/index.php/JAM/article/view/1126" TargetMode="External"/><Relationship Id="rId951" Type="http://schemas.openxmlformats.org/officeDocument/2006/relationships/hyperlink" Target="https://jurnal.itbsemarang.ac.id/index.php/JMBE/article/view/3585" TargetMode="External"/><Relationship Id="rId716" Type="http://schemas.openxmlformats.org/officeDocument/2006/relationships/hyperlink" Target="https://docs.google.com/document/d/1XiEzEEYfTJGqbBJzhnVzHG5-5kN3cZw4/edit?usp=drive_link&amp;ouid=113741177560435037779&amp;rtpof=true&amp;sd=true" TargetMode="External"/><Relationship Id="rId958" Type="http://schemas.openxmlformats.org/officeDocument/2006/relationships/drawing" Target="../drawings/drawing1.xml"/><Relationship Id="rId715" Type="http://schemas.openxmlformats.org/officeDocument/2006/relationships/hyperlink" Target="https://jurnalpengabdianmasyarakatbangsa.com/index.php/jpmba/article/view/1191/1002" TargetMode="External"/><Relationship Id="rId957" Type="http://schemas.openxmlformats.org/officeDocument/2006/relationships/hyperlink" Target="https://repository.stiesurakarta.ac.id/submission/f38f8d6c-e331-4eed-9d17-b7c2dbe01b49" TargetMode="External"/><Relationship Id="rId714" Type="http://schemas.openxmlformats.org/officeDocument/2006/relationships/hyperlink" Target="https://repository.stiesurakarta.ac.id/submission/d9eb0a74-d028-4cd4-a3e3-51404c00c8ec" TargetMode="External"/><Relationship Id="rId956" Type="http://schemas.openxmlformats.org/officeDocument/2006/relationships/hyperlink" Target="https://repository.stiesurakarta.ac.id/submission/c3d36371-3a71-4c6b-a87e-6ac486766ebc" TargetMode="External"/><Relationship Id="rId713" Type="http://schemas.openxmlformats.org/officeDocument/2006/relationships/hyperlink" Target="https://repository.stiesurakarta.ac.id/submission/996f80a1-2e88-4ece-9365-07ad9f17115b" TargetMode="External"/><Relationship Id="rId955" Type="http://schemas.openxmlformats.org/officeDocument/2006/relationships/hyperlink" Target="https://journalshub.org/index.php/JUMBIKU/article/view/6102" TargetMode="External"/><Relationship Id="rId59" Type="http://schemas.openxmlformats.org/officeDocument/2006/relationships/hyperlink" Target="https://jurnalfe.ustjogja.ac.id/index.php/ekobis/article/view/2721" TargetMode="External"/><Relationship Id="rId58" Type="http://schemas.openxmlformats.org/officeDocument/2006/relationships/hyperlink" Target="https://journal.unj.ac.id/unj/index.php/jrmsi/article/view/22130" TargetMode="External"/><Relationship Id="rId950" Type="http://schemas.openxmlformats.org/officeDocument/2006/relationships/hyperlink" Target="https://ejurnal.politeknikpratama.ac.id/index.php/jekombis/article/view/5570" TargetMode="External"/><Relationship Id="rId590" Type="http://schemas.openxmlformats.org/officeDocument/2006/relationships/hyperlink" Target="https://drive.google.com/file/d/1eEc1E9zLQb6BsKHSHJ7hEiQkuHrGd85r/view?usp=sharing" TargetMode="External"/><Relationship Id="rId107" Type="http://schemas.openxmlformats.org/officeDocument/2006/relationships/hyperlink" Target="https://jurnal.stiesurakarta.ac.id/index.php/jebdeker/article/view/58" TargetMode="External"/><Relationship Id="rId349" Type="http://schemas.openxmlformats.org/officeDocument/2006/relationships/hyperlink" Target="https://www.bajangjournal.com/index.php/Juremi/article/view/3850/2823" TargetMode="External"/><Relationship Id="rId106" Type="http://schemas.openxmlformats.org/officeDocument/2006/relationships/hyperlink" Target="https://jurnal.stie-aas.ac.id/index.php/IJEBAR/article/view/2508" TargetMode="External"/><Relationship Id="rId348" Type="http://schemas.openxmlformats.org/officeDocument/2006/relationships/hyperlink" Target="https://www.bajangjournal.com/index.php/Juremi/article/view/3788/2818" TargetMode="External"/><Relationship Id="rId105" Type="http://schemas.openxmlformats.org/officeDocument/2006/relationships/hyperlink" Target="https://www.jurnal.stie-aas.ac.id/index.php/jie/article/view/1878" TargetMode="External"/><Relationship Id="rId347" Type="http://schemas.openxmlformats.org/officeDocument/2006/relationships/hyperlink" Target="https://bajangjournal.com/index.php/Juremi/article/view/3850" TargetMode="External"/><Relationship Id="rId589" Type="http://schemas.openxmlformats.org/officeDocument/2006/relationships/hyperlink" Target="https://drive.google.com/file/d/1uzwqRZUTbT0g7CTvEXNuT1x82GNYl-3e/view?usp=sharing" TargetMode="External"/><Relationship Id="rId104" Type="http://schemas.openxmlformats.org/officeDocument/2006/relationships/hyperlink" Target="https://jurnal.unismuhpalu.ac.id/index.php/JSM/article/view/1644" TargetMode="External"/><Relationship Id="rId346" Type="http://schemas.openxmlformats.org/officeDocument/2006/relationships/hyperlink" Target="https://bajangjournal.com/index.php/Juremi/article/view/3791" TargetMode="External"/><Relationship Id="rId588" Type="http://schemas.openxmlformats.org/officeDocument/2006/relationships/hyperlink" Target="https://jurnalpengabdian.stiesurakarta.ac.id/index.php/Dms/article/view/46/33" TargetMode="External"/><Relationship Id="rId109" Type="http://schemas.openxmlformats.org/officeDocument/2006/relationships/hyperlink" Target="https://jurnal.stie-aas.ac.id/index.php/jap/article/view/2260" TargetMode="External"/><Relationship Id="rId108" Type="http://schemas.openxmlformats.org/officeDocument/2006/relationships/hyperlink" Target="https://jurnal.stie-aas.ac.id/index.php/jap/article/view/2160" TargetMode="External"/><Relationship Id="rId341" Type="http://schemas.openxmlformats.org/officeDocument/2006/relationships/hyperlink" Target="https://ejournal.nusantaraglobal.ac.id/index.php/sentri/article/view/258" TargetMode="External"/><Relationship Id="rId583" Type="http://schemas.openxmlformats.org/officeDocument/2006/relationships/hyperlink" Target="https://repository.stiesurakarta.ac.id/submission/ee1fc722-f5b8-489f-a070-201f5353e99c" TargetMode="External"/><Relationship Id="rId340" Type="http://schemas.openxmlformats.org/officeDocument/2006/relationships/hyperlink" Target="https://jurnal.risetilmiah.ac.id/index.php/jak/article/view/153" TargetMode="External"/><Relationship Id="rId582" Type="http://schemas.openxmlformats.org/officeDocument/2006/relationships/hyperlink" Target="https://repository.stiesurakarta.ac.id/submission/a686e8b5-f37c-486e-84c8-6632455c7d4a" TargetMode="External"/><Relationship Id="rId581" Type="http://schemas.openxmlformats.org/officeDocument/2006/relationships/hyperlink" Target="https://repository.stiesurakarta.ac.id/submission/90a7ad06-ea38-42f4-b3e5-2a13935de100" TargetMode="External"/><Relationship Id="rId580" Type="http://schemas.openxmlformats.org/officeDocument/2006/relationships/hyperlink" Target="https://repository.stiesurakarta.ac.id/submission/eae7998a-83fa-48d5-965d-429abed9146e" TargetMode="External"/><Relationship Id="rId103" Type="http://schemas.openxmlformats.org/officeDocument/2006/relationships/hyperlink" Target="https://ejournal.unhi.ac.id/index.php/widyamanajemen/article/view/1632" TargetMode="External"/><Relationship Id="rId345" Type="http://schemas.openxmlformats.org/officeDocument/2006/relationships/hyperlink" Target="https://bajangjournal.com/index.php/Juremi/article/view/3789" TargetMode="External"/><Relationship Id="rId587" Type="http://schemas.openxmlformats.org/officeDocument/2006/relationships/hyperlink" Target="https://jurnal.stiesurakarta.ac.id/index.php/jebdeker/article/view/235" TargetMode="External"/><Relationship Id="rId102" Type="http://schemas.openxmlformats.org/officeDocument/2006/relationships/hyperlink" Target="https://jurnal.ulb.ac.id/index.php/ecobisma/article/view/2079" TargetMode="External"/><Relationship Id="rId344" Type="http://schemas.openxmlformats.org/officeDocument/2006/relationships/hyperlink" Target="https://jurnal.risetilmiah.ac.id/index.php/jak/article/view/166" TargetMode="External"/><Relationship Id="rId586" Type="http://schemas.openxmlformats.org/officeDocument/2006/relationships/hyperlink" Target="https://repository.stiesurakarta.ac.id/submission/aa51df58-66eb-45c4-8883-544cf57f2818" TargetMode="External"/><Relationship Id="rId101" Type="http://schemas.openxmlformats.org/officeDocument/2006/relationships/hyperlink" Target="https://ijersc.org/index.php/go/article/view/28" TargetMode="External"/><Relationship Id="rId343" Type="http://schemas.openxmlformats.org/officeDocument/2006/relationships/hyperlink" Target="https://drive.google.com/file/d/11jiqq1JDi9UmxTBISg2W801w1y12ty8L/view?usp=drive_link" TargetMode="External"/><Relationship Id="rId585" Type="http://schemas.openxmlformats.org/officeDocument/2006/relationships/hyperlink" Target="https://jurnal.stiesurakarta.ac.id/index.php/jebdeker/article/view/202" TargetMode="External"/><Relationship Id="rId100" Type="http://schemas.openxmlformats.org/officeDocument/2006/relationships/hyperlink" Target="https://ijersc.org/index.php/go/article/view/27" TargetMode="External"/><Relationship Id="rId342" Type="http://schemas.openxmlformats.org/officeDocument/2006/relationships/hyperlink" Target="https://ejournal.nusantaraglobal.ac.id/index.php/sentri/article/view/257" TargetMode="External"/><Relationship Id="rId584" Type="http://schemas.openxmlformats.org/officeDocument/2006/relationships/hyperlink" Target="https://journalshub.org/index.php/jebaku/article/view/2565" TargetMode="External"/><Relationship Id="rId338" Type="http://schemas.openxmlformats.org/officeDocument/2006/relationships/hyperlink" Target="https://jurnal.stietrisnanegara.ac.id/index.php/aktual/article/view/222" TargetMode="External"/><Relationship Id="rId337" Type="http://schemas.openxmlformats.org/officeDocument/2006/relationships/hyperlink" Target="https://journal.unilak.ac.id/index.php/senkim/article/view/11337" TargetMode="External"/><Relationship Id="rId579" Type="http://schemas.openxmlformats.org/officeDocument/2006/relationships/hyperlink" Target="https://repository.stiesurakarta.ac.id/submission/0ae43366-478f-4a47-a93e-f6cb5d8e9852" TargetMode="External"/><Relationship Id="rId336" Type="http://schemas.openxmlformats.org/officeDocument/2006/relationships/hyperlink" Target="https://journal.unilak.ac.id/index.php/senkim/article/view/11310" TargetMode="External"/><Relationship Id="rId578" Type="http://schemas.openxmlformats.org/officeDocument/2006/relationships/hyperlink" Target="https://ejournal.nusantaraglobal.ac.id/index.php/sentri/article/view/1907" TargetMode="External"/><Relationship Id="rId335" Type="http://schemas.openxmlformats.org/officeDocument/2006/relationships/hyperlink" Target="https://journal.unilak.ac.id/index.php/senkim/article/view/11306" TargetMode="External"/><Relationship Id="rId577" Type="http://schemas.openxmlformats.org/officeDocument/2006/relationships/hyperlink" Target="https://ejournal.unp.ac.id/index.php/jipe/article/view/126145" TargetMode="External"/><Relationship Id="rId339" Type="http://schemas.openxmlformats.org/officeDocument/2006/relationships/hyperlink" Target="https://ejournal.utmj.ac.id/ekobis/article/view/608" TargetMode="External"/><Relationship Id="rId330" Type="http://schemas.openxmlformats.org/officeDocument/2006/relationships/hyperlink" Target="https://ejournal.goacademica.com/index.php/jk/article/view/588" TargetMode="External"/><Relationship Id="rId572" Type="http://schemas.openxmlformats.org/officeDocument/2006/relationships/hyperlink" Target="https://bajangjournal.com/index.php/Juremi/article/view/4256" TargetMode="External"/><Relationship Id="rId571" Type="http://schemas.openxmlformats.org/officeDocument/2006/relationships/hyperlink" Target="https://bajangjournal.com/index.php/Juremi/article/view/6642" TargetMode="External"/><Relationship Id="rId570" Type="http://schemas.openxmlformats.org/officeDocument/2006/relationships/hyperlink" Target="https://ijespgjournal.org/index.php/ijespg/article/view/73" TargetMode="External"/><Relationship Id="rId334" Type="http://schemas.openxmlformats.org/officeDocument/2006/relationships/hyperlink" Target="https://journal.unilak.ac.id/index.php/senkim/article/view/11292" TargetMode="External"/><Relationship Id="rId576" Type="http://schemas.openxmlformats.org/officeDocument/2006/relationships/hyperlink" Target="https://sj.eastasouth-institute.com/index.php/smb/article/view/119" TargetMode="External"/><Relationship Id="rId333" Type="http://schemas.openxmlformats.org/officeDocument/2006/relationships/hyperlink" Target="https://ejournal.stiekia.ac.id/index.php/JUMPA/article/view/200" TargetMode="External"/><Relationship Id="rId575" Type="http://schemas.openxmlformats.org/officeDocument/2006/relationships/hyperlink" Target="https://publikasi.dinus.ac.id/index.php/JMDB/article/view/9344" TargetMode="External"/><Relationship Id="rId332" Type="http://schemas.openxmlformats.org/officeDocument/2006/relationships/hyperlink" Target="https://ejournal.goacademica.com/index.php/jk/article/view/589" TargetMode="External"/><Relationship Id="rId574" Type="http://schemas.openxmlformats.org/officeDocument/2006/relationships/hyperlink" Target="https://www.scilit.com/publications/a27b5e26ace3d780f1501990707c7937" TargetMode="External"/><Relationship Id="rId331" Type="http://schemas.openxmlformats.org/officeDocument/2006/relationships/hyperlink" Target="https://ejournal.goacademica.com/index.php/jk/article/view/589" TargetMode="External"/><Relationship Id="rId573" Type="http://schemas.openxmlformats.org/officeDocument/2006/relationships/hyperlink" Target="https://publikasi.dinus.ac.id/index.php/JMDB/article/view/9342" TargetMode="External"/><Relationship Id="rId370" Type="http://schemas.openxmlformats.org/officeDocument/2006/relationships/hyperlink" Target="https://www.google.co.id/books/edition/Menggali_Potensi_Customer_Fit_Reconfigur/BWPcEAAAQBAJ?hl=id&amp;gbpv=1&amp;printsec=frontcover" TargetMode="External"/><Relationship Id="rId129" Type="http://schemas.openxmlformats.org/officeDocument/2006/relationships/hyperlink" Target="https://jurnaltsm.id/index.php/JBA/article/view/927" TargetMode="External"/><Relationship Id="rId128" Type="http://schemas.openxmlformats.org/officeDocument/2006/relationships/hyperlink" Target="https://e-journal.trisakti.ac.id/index.php/jat/article/view/8718" TargetMode="External"/><Relationship Id="rId127" Type="http://schemas.openxmlformats.org/officeDocument/2006/relationships/hyperlink" Target="https://jurnal.untan.ac.id/index.php/JJ/article/view/44793/pdf" TargetMode="External"/><Relationship Id="rId369" Type="http://schemas.openxmlformats.org/officeDocument/2006/relationships/hyperlink" Target="https://ojs.cahayamandalika.com/index.php/jomla/article/view/1156/969" TargetMode="External"/><Relationship Id="rId126" Type="http://schemas.openxmlformats.org/officeDocument/2006/relationships/hyperlink" Target="https://e-journal.unipma.ac.id/index.php/inventory/article/view/8615" TargetMode="External"/><Relationship Id="rId368" Type="http://schemas.openxmlformats.org/officeDocument/2006/relationships/hyperlink" Target="https://docs.google.com/document/d/1kA1LfdctTlPTkgU3WtoJ-jeZaSjR-u8S/edit?usp=drive_link&amp;ouid=113741177560435037779&amp;rtpof=true&amp;sd=true" TargetMode="External"/><Relationship Id="rId121" Type="http://schemas.openxmlformats.org/officeDocument/2006/relationships/hyperlink" Target="https://journal.feb.unmul.ac.id/index.php/JURNALMANAJEMEN/article/view/10074" TargetMode="External"/><Relationship Id="rId363" Type="http://schemas.openxmlformats.org/officeDocument/2006/relationships/hyperlink" Target="https://ejournal.lppm-stieatmabhakti.id/index.php/RMA/article/view/288" TargetMode="External"/><Relationship Id="rId120" Type="http://schemas.openxmlformats.org/officeDocument/2006/relationships/hyperlink" Target="https://journal.uniku.ac.id/index.php/ijsm/article/view/3952" TargetMode="External"/><Relationship Id="rId362" Type="http://schemas.openxmlformats.org/officeDocument/2006/relationships/hyperlink" Target="https://ejournal.lppm-stieatmabhakti.id/index.php/JANAKA/article/view/293" TargetMode="External"/><Relationship Id="rId361" Type="http://schemas.openxmlformats.org/officeDocument/2006/relationships/hyperlink" Target="https://repository.stiesurakarta.ac.id/submission/e5b57cfc-36d3-4bbb-aaeb-e53ca79e7613" TargetMode="External"/><Relationship Id="rId360" Type="http://schemas.openxmlformats.org/officeDocument/2006/relationships/hyperlink" Target="http://conference.stietotalwin.ac.id/index.php/prowin/2022/paper/view/39" TargetMode="External"/><Relationship Id="rId125" Type="http://schemas.openxmlformats.org/officeDocument/2006/relationships/hyperlink" Target="https://e-journal.unipma.ac.id/index.php/inventory/article/view/8614" TargetMode="External"/><Relationship Id="rId367" Type="http://schemas.openxmlformats.org/officeDocument/2006/relationships/hyperlink" Target="https://jurnal.iimsurakarta.ac.id/index.php/haziq/article/view/81" TargetMode="External"/><Relationship Id="rId124" Type="http://schemas.openxmlformats.org/officeDocument/2006/relationships/hyperlink" Target="https://jurnal.untirta.ac.id/index.php/Ekonomi-Qu/article/view/11272" TargetMode="External"/><Relationship Id="rId366" Type="http://schemas.openxmlformats.org/officeDocument/2006/relationships/hyperlink" Target="https://journalshub.org/index.php/jebaku/article/view/797" TargetMode="External"/><Relationship Id="rId123" Type="http://schemas.openxmlformats.org/officeDocument/2006/relationships/hyperlink" Target="https://www.semanticscholar.org/paper/THE-EFFECT-OF-EPS%2C-ROA%2C-DER%2C-AND-PBV-ON-STOCK-ON-Surakarta/596f6cdd13308d8de070cbaee7197ad394d6014a" TargetMode="External"/><Relationship Id="rId365" Type="http://schemas.openxmlformats.org/officeDocument/2006/relationships/hyperlink" Target="https://jurnalpengabdian.stiesurakarta.ac.id/index.php/Dms/article/view/20" TargetMode="External"/><Relationship Id="rId122" Type="http://schemas.openxmlformats.org/officeDocument/2006/relationships/hyperlink" Target="https://ejournal.upi.edu/index.php/image/article/view/32009" TargetMode="External"/><Relationship Id="rId364" Type="http://schemas.openxmlformats.org/officeDocument/2006/relationships/hyperlink" Target="https://www.researchgate.net/publication/366825302_Analisis_sistem_informasi_akuntansi_pembelian_di_Pt_Suryamustika" TargetMode="External"/><Relationship Id="rId95" Type="http://schemas.openxmlformats.org/officeDocument/2006/relationships/hyperlink" Target="https://journal.unesa.ac.id/index.php/jim/article/view/15787" TargetMode="External"/><Relationship Id="rId94" Type="http://schemas.openxmlformats.org/officeDocument/2006/relationships/hyperlink" Target="http://dx.doi.org/10.37715/jee.v10i1.1867" TargetMode="External"/><Relationship Id="rId97" Type="http://schemas.openxmlformats.org/officeDocument/2006/relationships/hyperlink" Target="https://multisciencejournal.com/index.php/ijm/article/view/138" TargetMode="External"/><Relationship Id="rId96" Type="http://schemas.openxmlformats.org/officeDocument/2006/relationships/hyperlink" Target="https://multisciencejournal.com/index.php/ijm/article/view/141" TargetMode="External"/><Relationship Id="rId99" Type="http://schemas.openxmlformats.org/officeDocument/2006/relationships/hyperlink" Target="https://www.neliti.com/publications/439380/the-factor-determination-of-online-purchasing-decision-on-indonesia-marketplace" TargetMode="External"/><Relationship Id="rId98" Type="http://schemas.openxmlformats.org/officeDocument/2006/relationships/hyperlink" Target="https://www.neliti.com/publications/439409/the-influence-of-product-quality-price-product-innovation-and-brand-image-on-pur" TargetMode="External"/><Relationship Id="rId91" Type="http://schemas.openxmlformats.org/officeDocument/2006/relationships/hyperlink" Target="https://profesionalmudacendekia.com/index.php/jbmr/article/view/166" TargetMode="External"/><Relationship Id="rId90" Type="http://schemas.openxmlformats.org/officeDocument/2006/relationships/hyperlink" Target="https://journal.universitasbumigora.ac.id/index.php/target/article/view/1196" TargetMode="External"/><Relationship Id="rId93" Type="http://schemas.openxmlformats.org/officeDocument/2006/relationships/hyperlink" Target="https://jurnal.ulb.ac.id/index.php/%20ecobisma/article/view/2057" TargetMode="External"/><Relationship Id="rId92" Type="http://schemas.openxmlformats.org/officeDocument/2006/relationships/hyperlink" Target="https://ojs.unimal.ac.id/jmi/article/view/4870" TargetMode="External"/><Relationship Id="rId118" Type="http://schemas.openxmlformats.org/officeDocument/2006/relationships/hyperlink" Target="https://ejournal.mandalabhakti.ac.id/index.php/mabha/article/view/30" TargetMode="External"/><Relationship Id="rId117" Type="http://schemas.openxmlformats.org/officeDocument/2006/relationships/hyperlink" Target="https://jurnalfe.ustjogja.ac.id/index.php/ekobis/article/view/2204" TargetMode="External"/><Relationship Id="rId359" Type="http://schemas.openxmlformats.org/officeDocument/2006/relationships/hyperlink" Target="http://conference.stietotalwin.ac.id/index.php/prowin/2022/paper/view/35" TargetMode="External"/><Relationship Id="rId116" Type="http://schemas.openxmlformats.org/officeDocument/2006/relationships/hyperlink" Target="https://jurnaltsm.id/index.php/JBA/article/view/931" TargetMode="External"/><Relationship Id="rId358" Type="http://schemas.openxmlformats.org/officeDocument/2006/relationships/hyperlink" Target="http://conference.stietotalwin.ac.id/index.php/prowin/2022/paper/view/34" TargetMode="External"/><Relationship Id="rId115" Type="http://schemas.openxmlformats.org/officeDocument/2006/relationships/hyperlink" Target="https://jurnal.unimus.ac.id/index.php/MAX/article/view/7730" TargetMode="External"/><Relationship Id="rId357" Type="http://schemas.openxmlformats.org/officeDocument/2006/relationships/hyperlink" Target="https://ejournal.mandalabhakti.ac.id/mabha/article/view/43" TargetMode="External"/><Relationship Id="rId599" Type="http://schemas.openxmlformats.org/officeDocument/2006/relationships/hyperlink" Target="https://ejurnal.kampusakademik.co.id/index.php/jiem/article/view/879/version/879" TargetMode="External"/><Relationship Id="rId119" Type="http://schemas.openxmlformats.org/officeDocument/2006/relationships/hyperlink" Target="https://jurnal.stiesurakarta.ac.id/index.php/jebdeker/article/view/68" TargetMode="External"/><Relationship Id="rId110" Type="http://schemas.openxmlformats.org/officeDocument/2006/relationships/hyperlink" Target="https://journals.ums.ac.id/index.php/reaksi/article/view/16124" TargetMode="External"/><Relationship Id="rId352" Type="http://schemas.openxmlformats.org/officeDocument/2006/relationships/hyperlink" Target="https://journalshub.org/index.php/jebaku/article/view/681" TargetMode="External"/><Relationship Id="rId594" Type="http://schemas.openxmlformats.org/officeDocument/2006/relationships/hyperlink" Target="https://ejournal.uby.ac.id/index.php/ekobis/article/view/1266" TargetMode="External"/><Relationship Id="rId351" Type="http://schemas.openxmlformats.org/officeDocument/2006/relationships/hyperlink" Target="https://jurnal.bsi.ac.id/index.php/abdi-ekbis/article/view/245" TargetMode="External"/><Relationship Id="rId593" Type="http://schemas.openxmlformats.org/officeDocument/2006/relationships/hyperlink" Target="https://organize.pdfaii.org/index.php/i/article/view/58/23" TargetMode="External"/><Relationship Id="rId350" Type="http://schemas.openxmlformats.org/officeDocument/2006/relationships/hyperlink" Target="https://ejournal.goacademica.com/index.php/jk/article/view/613" TargetMode="External"/><Relationship Id="rId592" Type="http://schemas.openxmlformats.org/officeDocument/2006/relationships/hyperlink" Target="https://repository.stiesurakarta.ac.id/submission/748ff9d8-7a50-4a4b-9111-c074d97dc092" TargetMode="External"/><Relationship Id="rId591" Type="http://schemas.openxmlformats.org/officeDocument/2006/relationships/hyperlink" Target="https://www.ijebmr.com/link/1284" TargetMode="External"/><Relationship Id="rId114" Type="http://schemas.openxmlformats.org/officeDocument/2006/relationships/hyperlink" Target="https://jurnal.stiesurakarta.ac.id/index.php/jebdeker/article/view/66" TargetMode="External"/><Relationship Id="rId356" Type="http://schemas.openxmlformats.org/officeDocument/2006/relationships/hyperlink" Target="https://ejournal.mandalabhakti.ac.id/mabha/article/view/44" TargetMode="External"/><Relationship Id="rId598" Type="http://schemas.openxmlformats.org/officeDocument/2006/relationships/hyperlink" Target="https://ejurnal.kampusakademik.co.id/index.php/jiem/article/view/1032" TargetMode="External"/><Relationship Id="rId113" Type="http://schemas.openxmlformats.org/officeDocument/2006/relationships/hyperlink" Target="https://stiepari.org/index.php/jvm/article/view/163" TargetMode="External"/><Relationship Id="rId355" Type="http://schemas.openxmlformats.org/officeDocument/2006/relationships/hyperlink" Target="https://www.jurnal.stie-aas.ac.id/index.php/jie/article/view/7152/pdf" TargetMode="External"/><Relationship Id="rId597" Type="http://schemas.openxmlformats.org/officeDocument/2006/relationships/hyperlink" Target="https://jurnal.stiesurakarta.ac.id/index.php/jebdeker/article/view/248" TargetMode="External"/><Relationship Id="rId112" Type="http://schemas.openxmlformats.org/officeDocument/2006/relationships/hyperlink" Target="https://ejournal.iaiibrahimy.ac.id/index.php/Abdi_Kami/article/view/470" TargetMode="External"/><Relationship Id="rId354" Type="http://schemas.openxmlformats.org/officeDocument/2006/relationships/hyperlink" Target="https://jurnal.stie-aas.ac.id/index.php/jie/article/view/7152" TargetMode="External"/><Relationship Id="rId596" Type="http://schemas.openxmlformats.org/officeDocument/2006/relationships/hyperlink" Target="https://jurnal.stiesurakarta.ac.id/index.php/jebdeker/article/view/226" TargetMode="External"/><Relationship Id="rId111" Type="http://schemas.openxmlformats.org/officeDocument/2006/relationships/hyperlink" Target="https://jurnal.stie-aas.ac.id/index.php/IJEBAR/article/view/3516" TargetMode="External"/><Relationship Id="rId353" Type="http://schemas.openxmlformats.org/officeDocument/2006/relationships/hyperlink" Target="https://journalshub.org/index.php/jebaku/article/view/693" TargetMode="External"/><Relationship Id="rId595" Type="http://schemas.openxmlformats.org/officeDocument/2006/relationships/hyperlink" Target="https://ejournal.uika-bogor.ac.id/index.php/INOVATOR/article/view/17627" TargetMode="External"/><Relationship Id="rId305" Type="http://schemas.openxmlformats.org/officeDocument/2006/relationships/hyperlink" Target="https://drive.google.com/file/d/1Q6M5mvzyNTgieaNfRq_E5Sgb-OpyO_j9/view?usp=drive_link" TargetMode="External"/><Relationship Id="rId547" Type="http://schemas.openxmlformats.org/officeDocument/2006/relationships/hyperlink" Target="https://www.theijbmt.com/archive/0953/261345409.pdf" TargetMode="External"/><Relationship Id="rId789" Type="http://schemas.openxmlformats.org/officeDocument/2006/relationships/hyperlink" Target="https://ejournal.utp.ac.id/index.php/ganesha/article/view/4303" TargetMode="External"/><Relationship Id="rId304" Type="http://schemas.openxmlformats.org/officeDocument/2006/relationships/hyperlink" Target="https://journal.uniba.ac.id/index.php/PSD/article/view/343/284" TargetMode="External"/><Relationship Id="rId546" Type="http://schemas.openxmlformats.org/officeDocument/2006/relationships/hyperlink" Target="https://theijbmt.com/arc953.php" TargetMode="External"/><Relationship Id="rId788" Type="http://schemas.openxmlformats.org/officeDocument/2006/relationships/hyperlink" Target="https://repository.stiesurakarta.ac.id/submission/0b9a37fc-d274-4daf-af46-fa47615d3fe5" TargetMode="External"/><Relationship Id="rId303" Type="http://schemas.openxmlformats.org/officeDocument/2006/relationships/hyperlink" Target="https://journal.uniba.ac.id/index.php/PSD/search/index?query=PENGARUH+UKURAN+PERUSAHAAN%2C+LEVERAGE%2C+SALES+GROWTH%2C+PROFITABILITAS+TERHADAP+TAX+AVOIDANCE+PADA+PERUSAHAAN+YANG+TERDAFTAR+DI+BURSA+EFEK+INDONESIA+%28BEI%29&amp;dateFromYear=&amp;dateFromMonth=&amp;dateFromDay=&amp;dateToYear=&amp;dateToMonth=&amp;dateToDay=&amp;authors=" TargetMode="External"/><Relationship Id="rId545" Type="http://schemas.openxmlformats.org/officeDocument/2006/relationships/hyperlink" Target="https://ejournal-polnam.ac.id/index.php/JurnalManeksi/article/view/1662" TargetMode="External"/><Relationship Id="rId787" Type="http://schemas.openxmlformats.org/officeDocument/2006/relationships/hyperlink" Target="https://repository.stiesurakarta.ac.id/submission/85d7dcba-d42d-4fc2-94f3-38c5c24fd70f" TargetMode="External"/><Relationship Id="rId302" Type="http://schemas.openxmlformats.org/officeDocument/2006/relationships/hyperlink" Target="https://journal.uniba.ac.id/index.php/PSD/article/view/341/219" TargetMode="External"/><Relationship Id="rId544" Type="http://schemas.openxmlformats.org/officeDocument/2006/relationships/hyperlink" Target="https://jurnal.kolibi.org/index.php/neraca/article/view/36" TargetMode="External"/><Relationship Id="rId786" Type="http://schemas.openxmlformats.org/officeDocument/2006/relationships/hyperlink" Target="https://repository.stiesurakarta.ac.id/submission/8a48dd88-9f28-4d31-8258-75f2630dfe6e" TargetMode="External"/><Relationship Id="rId309" Type="http://schemas.openxmlformats.org/officeDocument/2006/relationships/hyperlink" Target="https://docs.google.com/document/d/1Aa8slL8uR8gmYOlBlDmKQ2AvOv-Im5ah/edit?usp=drive_link&amp;ouid=113741177560435037779&amp;rtpof=true&amp;sd=true" TargetMode="External"/><Relationship Id="rId308" Type="http://schemas.openxmlformats.org/officeDocument/2006/relationships/hyperlink" Target="https://docs.google.com/document/d/16hN2K4I6QK8L7Ixr75wotXMxd0TqKrfo/edit?usp=sharing&amp;ouid=113741177560435037779&amp;rtpof=true&amp;sd=true" TargetMode="External"/><Relationship Id="rId307" Type="http://schemas.openxmlformats.org/officeDocument/2006/relationships/hyperlink" Target="https://www.journal.uniba.ac.id/index.php/PSD/article/view/340" TargetMode="External"/><Relationship Id="rId549" Type="http://schemas.openxmlformats.org/officeDocument/2006/relationships/hyperlink" Target="https://ejournal.nusantaraglobal.ac.id/index.php/sentri/article/view/1547" TargetMode="External"/><Relationship Id="rId306" Type="http://schemas.openxmlformats.org/officeDocument/2006/relationships/hyperlink" Target="https://drive.google.com/file/d/1VQmUt2xXN8RLvr1sbOKXD8ma6Y0BmXzJ/view?usp=sharing" TargetMode="External"/><Relationship Id="rId548" Type="http://schemas.openxmlformats.org/officeDocument/2006/relationships/hyperlink" Target="https://plj.ac.id/ojs/index.php/jrlab/article/view/804" TargetMode="External"/><Relationship Id="rId781" Type="http://schemas.openxmlformats.org/officeDocument/2006/relationships/hyperlink" Target="https://drive.google.com/file/d/10ZMbcKSFoCupmX0BhnKRWi3RiJvxQiIf/view" TargetMode="External"/><Relationship Id="rId780" Type="http://schemas.openxmlformats.org/officeDocument/2006/relationships/hyperlink" Target="https://repository.stiesurakarta.ac.id/submission/392e2684-b2e6-41c7-896f-096b4be8a671" TargetMode="External"/><Relationship Id="rId301" Type="http://schemas.openxmlformats.org/officeDocument/2006/relationships/hyperlink" Target="https://jurnal.pancabudi.ac.id/index.php/jepa/article/view/4176" TargetMode="External"/><Relationship Id="rId543" Type="http://schemas.openxmlformats.org/officeDocument/2006/relationships/hyperlink" Target="https://ejournal.undip.ac.id/index.php/jspi/article/view/53273" TargetMode="External"/><Relationship Id="rId785" Type="http://schemas.openxmlformats.org/officeDocument/2006/relationships/hyperlink" Target="https://repository.stiesurakarta.ac.id/submission/29e2f353-c342-44a8-9b7d-5e9871d8168c" TargetMode="External"/><Relationship Id="rId300" Type="http://schemas.openxmlformats.org/officeDocument/2006/relationships/hyperlink" Target="https://ejournal.pelitaindonesia.ac.id/ojs32/index.php/KURS/article/view/2018" TargetMode="External"/><Relationship Id="rId542" Type="http://schemas.openxmlformats.org/officeDocument/2006/relationships/hyperlink" Target="https://journal.unrika.ac.id/index.php/MNDBHRU/article/view/5372" TargetMode="External"/><Relationship Id="rId784" Type="http://schemas.openxmlformats.org/officeDocument/2006/relationships/hyperlink" Target="https://repository.stiesurakarta.ac.id/submission/f7621dda-0908-4d12-ab07-6715254e6dae" TargetMode="External"/><Relationship Id="rId541" Type="http://schemas.openxmlformats.org/officeDocument/2006/relationships/hyperlink" Target="https://drive.google.com/file/d/1cNDlr0qVK0hDhfoYXDgdk-tt0atnxAT0/view?usp=sharing" TargetMode="External"/><Relationship Id="rId783" Type="http://schemas.openxmlformats.org/officeDocument/2006/relationships/hyperlink" Target="https://repository.stiesurakarta.ac.id/submission/8a7d9736-a771-4aac-a21f-6689cd3c5a34" TargetMode="External"/><Relationship Id="rId540" Type="http://schemas.openxmlformats.org/officeDocument/2006/relationships/hyperlink" Target="https://drive.google.com/file/d/1b8NLVgcMLEE5Uq1yO1oVAVzuFzI_OuEl/view?usp=sharing" TargetMode="External"/><Relationship Id="rId782" Type="http://schemas.openxmlformats.org/officeDocument/2006/relationships/hyperlink" Target="https://drive.google.com/file/d/1FHfcteRorWdv3Wl5PiJjFsf7XcOyLWzA/view" TargetMode="External"/><Relationship Id="rId536" Type="http://schemas.openxmlformats.org/officeDocument/2006/relationships/hyperlink" Target="https://ejournal-polnam.ac.id/index.php/JurnalManeksi/article/view/1488" TargetMode="External"/><Relationship Id="rId778" Type="http://schemas.openxmlformats.org/officeDocument/2006/relationships/hyperlink" Target="https://repository.stiesurakarta.ac.id/submission/1c470434-e507-4401-841b-bd26a660a9a8" TargetMode="External"/><Relationship Id="rId535" Type="http://schemas.openxmlformats.org/officeDocument/2006/relationships/hyperlink" Target="https://drive.google.com/file/d/1HgHQXR-wYa4kXv2ySNh9VDJswbyDpMeB/view?usp=sharing" TargetMode="External"/><Relationship Id="rId777" Type="http://schemas.openxmlformats.org/officeDocument/2006/relationships/hyperlink" Target="https://repository.stiesurakarta.ac.id/submission/3c50f7d3-b03a-48cc-8b84-f3d09eab6c27" TargetMode="External"/><Relationship Id="rId534" Type="http://schemas.openxmlformats.org/officeDocument/2006/relationships/hyperlink" Target="https://ejournal2.uika-bogor.ac.id/index.php/Manager/article/view/458" TargetMode="External"/><Relationship Id="rId776" Type="http://schemas.openxmlformats.org/officeDocument/2006/relationships/hyperlink" Target="https://repository.stiesurakarta.ac.id/submission/47c3faee-c2f6-488e-b97c-920e689cd793" TargetMode="External"/><Relationship Id="rId533" Type="http://schemas.openxmlformats.org/officeDocument/2006/relationships/hyperlink" Target="https://e-journal.unair.ac.id/AJIM/article/view/45494" TargetMode="External"/><Relationship Id="rId775" Type="http://schemas.openxmlformats.org/officeDocument/2006/relationships/hyperlink" Target="https://repository.stiesurakarta.ac.id/submission/98bfd552-8c67-44fc-987a-b9bffd1cc9e3" TargetMode="External"/><Relationship Id="rId539" Type="http://schemas.openxmlformats.org/officeDocument/2006/relationships/hyperlink" Target="https://bajangjournal.com/index.php/Juremi/article/view/4451" TargetMode="External"/><Relationship Id="rId538" Type="http://schemas.openxmlformats.org/officeDocument/2006/relationships/hyperlink" Target="https://ejournal.stpmataram.ac.id/JIP/article/view/2783" TargetMode="External"/><Relationship Id="rId537" Type="http://schemas.openxmlformats.org/officeDocument/2006/relationships/hyperlink" Target="https://ojs.co.id/1/index.php/ike/article/view/96" TargetMode="External"/><Relationship Id="rId779" Type="http://schemas.openxmlformats.org/officeDocument/2006/relationships/hyperlink" Target="https://repository.stiesurakarta.ac.id/submission/318022b8-4a31-4cbe-942c-e0df07fead98" TargetMode="External"/><Relationship Id="rId770" Type="http://schemas.openxmlformats.org/officeDocument/2006/relationships/hyperlink" Target="https://drive.google.com/file/d/1ALIjOX_vneiE4gvx4OayAgjbxnYRSdwF/view?usp=drive_link" TargetMode="External"/><Relationship Id="rId532" Type="http://schemas.openxmlformats.org/officeDocument/2006/relationships/hyperlink" Target="https://www.researchgate.net/publication/371628596_Pengelolaan_Pemasaran_dan_Pembukuan_Secara_Digital_Pada_Bisnis_Kecil_Ayam_Potong_D" TargetMode="External"/><Relationship Id="rId774" Type="http://schemas.openxmlformats.org/officeDocument/2006/relationships/hyperlink" Target="https://repository.stiesurakarta.ac.id/submission/036f1d34-e9bc-45db-8ab5-849abce44aea" TargetMode="External"/><Relationship Id="rId531" Type="http://schemas.openxmlformats.org/officeDocument/2006/relationships/hyperlink" Target="https://drive.google.com/file/d/1dM6NgI3rMIcm2Pess6WSZJzmYWgztl1e/view?usp=drive_link" TargetMode="External"/><Relationship Id="rId773" Type="http://schemas.openxmlformats.org/officeDocument/2006/relationships/hyperlink" Target="https://repository.stiesurakarta.ac.id/submission/62bf2f6c-0d7b-4534-be48-c96751fffcf6" TargetMode="External"/><Relationship Id="rId530" Type="http://schemas.openxmlformats.org/officeDocument/2006/relationships/hyperlink" Target="https://journal.uniku.ac.id/index.php/ijsm/article/view/7900" TargetMode="External"/><Relationship Id="rId772" Type="http://schemas.openxmlformats.org/officeDocument/2006/relationships/hyperlink" Target="https://repository.stiesurakarta.ac.id/submission/dc7502b9-3bd3-4565-9c98-7230220eccb7" TargetMode="External"/><Relationship Id="rId771" Type="http://schemas.openxmlformats.org/officeDocument/2006/relationships/hyperlink" Target="https://jurnalpengabdian.stiesurakarta.ac.id/index.php/Dms/article/view/119" TargetMode="External"/><Relationship Id="rId327" Type="http://schemas.openxmlformats.org/officeDocument/2006/relationships/hyperlink" Target="https://journals.ums.ac.id/index.php/reaksi/article/view/20040" TargetMode="External"/><Relationship Id="rId569" Type="http://schemas.openxmlformats.org/officeDocument/2006/relationships/hyperlink" Target="https://ejurnal.kampusakademik.co.id/index.php/jiem/article/view/178" TargetMode="External"/><Relationship Id="rId326" Type="http://schemas.openxmlformats.org/officeDocument/2006/relationships/hyperlink" Target="https://jurnal.stie-aas.ac.id/index.php/jie/article/view/6399" TargetMode="External"/><Relationship Id="rId568" Type="http://schemas.openxmlformats.org/officeDocument/2006/relationships/hyperlink" Target="https://ejurnal.undana.ac.id/index.php/JEM/article/view/8882" TargetMode="External"/><Relationship Id="rId325" Type="http://schemas.openxmlformats.org/officeDocument/2006/relationships/hyperlink" Target="https://bajangjournal.com/index.php/Juremi/article/view/3377" TargetMode="External"/><Relationship Id="rId567" Type="http://schemas.openxmlformats.org/officeDocument/2006/relationships/hyperlink" Target="https://ejournal.stiepena.ac.id/index.php/abdimas/article/view/874" TargetMode="External"/><Relationship Id="rId324" Type="http://schemas.openxmlformats.org/officeDocument/2006/relationships/hyperlink" Target="https://stia-binataruna.e-journal.id/PUBLIK/article/view/331" TargetMode="External"/><Relationship Id="rId566" Type="http://schemas.openxmlformats.org/officeDocument/2006/relationships/hyperlink" Target="https://e-jurnal.unisda.ac.id/index.php/baktikita/article/view/5021" TargetMode="External"/><Relationship Id="rId329" Type="http://schemas.openxmlformats.org/officeDocument/2006/relationships/hyperlink" Target="https://ejournal.goacademica.com/index.php/jk/article/view/588" TargetMode="External"/><Relationship Id="rId328" Type="http://schemas.openxmlformats.org/officeDocument/2006/relationships/hyperlink" Target="https://jurnalfe.ustjogja.ac.id/index.php/ekobis/article/view/3279" TargetMode="External"/><Relationship Id="rId561" Type="http://schemas.openxmlformats.org/officeDocument/2006/relationships/hyperlink" Target="https://jurnal.stie-aas.ac.id/index.php/jie/article/view/10280" TargetMode="External"/><Relationship Id="rId560" Type="http://schemas.openxmlformats.org/officeDocument/2006/relationships/hyperlink" Target="https://j-economics.my.id/index.php/home/article/view/71" TargetMode="External"/><Relationship Id="rId323" Type="http://schemas.openxmlformats.org/officeDocument/2006/relationships/hyperlink" Target="https://jurnal.stie-aas.ac.id/index.php/jie/article/view/5947" TargetMode="External"/><Relationship Id="rId565" Type="http://schemas.openxmlformats.org/officeDocument/2006/relationships/hyperlink" Target="https://ojs.cahayamandalika.com/index.php/jtm/article/view/2150" TargetMode="External"/><Relationship Id="rId322" Type="http://schemas.openxmlformats.org/officeDocument/2006/relationships/hyperlink" Target="https://ejournal.uika-bogor.ac.id/index.php/Manager/article/view/7984" TargetMode="External"/><Relationship Id="rId564" Type="http://schemas.openxmlformats.org/officeDocument/2006/relationships/hyperlink" Target="https://www.journal.yp3a.org/index.php/akua/article/view/1935" TargetMode="External"/><Relationship Id="rId321" Type="http://schemas.openxmlformats.org/officeDocument/2006/relationships/hyperlink" Target="https://jurnalfe.ustjogja.ac.id/index.php/ekobis/article/view/3225" TargetMode="External"/><Relationship Id="rId563" Type="http://schemas.openxmlformats.org/officeDocument/2006/relationships/hyperlink" Target="https://ejurnal.kampusakademik.co.id/index.php/jiem/article/view/72" TargetMode="External"/><Relationship Id="rId320" Type="http://schemas.openxmlformats.org/officeDocument/2006/relationships/hyperlink" Target="https://journal.uin-alauddin.ac.id/index.php/eduleadership/article/view/29902" TargetMode="External"/><Relationship Id="rId562" Type="http://schemas.openxmlformats.org/officeDocument/2006/relationships/hyperlink" Target="https://sunanbonang.org/index.php/miftah/article/view/164" TargetMode="External"/><Relationship Id="rId316" Type="http://schemas.openxmlformats.org/officeDocument/2006/relationships/hyperlink" Target="https://drive.google.com/file/d/18-g0gjPiFhJeeEhhJ9Zy0JY3HoZ2KV5U/view?usp=sharing" TargetMode="External"/><Relationship Id="rId558" Type="http://schemas.openxmlformats.org/officeDocument/2006/relationships/hyperlink" Target="http://ejurnal.kampusakademik.my.id/index.php/jipm/article/view/23" TargetMode="External"/><Relationship Id="rId315" Type="http://schemas.openxmlformats.org/officeDocument/2006/relationships/hyperlink" Target="https://bengawan.poltekindonusa.ac.id/index.php/jurnal_bengawan/article/view/52" TargetMode="External"/><Relationship Id="rId557" Type="http://schemas.openxmlformats.org/officeDocument/2006/relationships/hyperlink" Target="http://ejurnal.setiabudi.ac.id/ojs/index.php/jbk/article/view/2252" TargetMode="External"/><Relationship Id="rId799" Type="http://schemas.openxmlformats.org/officeDocument/2006/relationships/hyperlink" Target="https://repository.stiesurakarta.ac.id/submission/05bef696-808c-4495-a4dc-5334b285ca24" TargetMode="External"/><Relationship Id="rId314" Type="http://schemas.openxmlformats.org/officeDocument/2006/relationships/hyperlink" Target="https://drive.google.com/file/d/1A5pZgYxWWT5aVKSBygNc2t6WY1Q19dDO/view?usp=drive_link" TargetMode="External"/><Relationship Id="rId556" Type="http://schemas.openxmlformats.org/officeDocument/2006/relationships/hyperlink" Target="https://ejournal.nusantaraglobal.ac.id/index.php/sentri/article/view/1641/1594" TargetMode="External"/><Relationship Id="rId798" Type="http://schemas.openxmlformats.org/officeDocument/2006/relationships/hyperlink" Target="https://repository.stiesurakarta.ac.id/submission/0a292bb9-a851-4fd0-b00d-e6290dc52bbb" TargetMode="External"/><Relationship Id="rId313" Type="http://schemas.openxmlformats.org/officeDocument/2006/relationships/hyperlink" Target="https://ejournal.unikama.ac.id/index.php/jrma/article/view/6711" TargetMode="External"/><Relationship Id="rId555" Type="http://schemas.openxmlformats.org/officeDocument/2006/relationships/hyperlink" Target="https://ejurnal.kampusakademik.co.id/index.php/jiem/article/view/41/37" TargetMode="External"/><Relationship Id="rId797" Type="http://schemas.openxmlformats.org/officeDocument/2006/relationships/hyperlink" Target="https://repository.stiesurakarta.ac.id/submission/daf71179-e23d-4c5a-ad48-36f58ac07c03" TargetMode="External"/><Relationship Id="rId319" Type="http://schemas.openxmlformats.org/officeDocument/2006/relationships/hyperlink" Target="https://ejournal.uncen.ac.id/index.php/JAKED/article/view/2329" TargetMode="External"/><Relationship Id="rId318" Type="http://schemas.openxmlformats.org/officeDocument/2006/relationships/hyperlink" Target="https://jurnalfe.ustjogja.ac.id/index.php/ekobis/article/view/3040" TargetMode="External"/><Relationship Id="rId317" Type="http://schemas.openxmlformats.org/officeDocument/2006/relationships/hyperlink" Target="https://ejournal.unikama.ac.id/index.php/jrma/article/view/6711" TargetMode="External"/><Relationship Id="rId559" Type="http://schemas.openxmlformats.org/officeDocument/2006/relationships/hyperlink" Target="https://jurnal.stie-aas.ac.id/index.php/jie/article/view/11006" TargetMode="External"/><Relationship Id="rId550" Type="http://schemas.openxmlformats.org/officeDocument/2006/relationships/hyperlink" Target="https://ejurnal.kampusakademik.co.id/index.php/jirs/article/view/10" TargetMode="External"/><Relationship Id="rId792" Type="http://schemas.openxmlformats.org/officeDocument/2006/relationships/hyperlink" Target="https://abdimasku.lppm.dinus.ac.id/index.php/jurnalabdimasku/article/view/2744" TargetMode="External"/><Relationship Id="rId791" Type="http://schemas.openxmlformats.org/officeDocument/2006/relationships/hyperlink" Target="https://repository.stiesurakarta.ac.id/submission/317c00a8-6e14-448b-97fb-866182b67c40" TargetMode="External"/><Relationship Id="rId790" Type="http://schemas.openxmlformats.org/officeDocument/2006/relationships/hyperlink" Target="https://repository.stiesurakarta.ac.id/submission/583374ae-b02f-4cf2-8534-d4c8b39bfb09" TargetMode="External"/><Relationship Id="rId312" Type="http://schemas.openxmlformats.org/officeDocument/2006/relationships/hyperlink" Target="https://docs.google.com/document/d/1JlnX9QgNdfxo04ZVYp_WmP4bbgr80j_o/edit?usp=drive_link&amp;ouid=113741177560435037779&amp;rtpof=true&amp;sd=true" TargetMode="External"/><Relationship Id="rId554" Type="http://schemas.openxmlformats.org/officeDocument/2006/relationships/hyperlink" Target="https://ojs.cahayamandalika.com/index.php/jtm/article/view/1632" TargetMode="External"/><Relationship Id="rId796" Type="http://schemas.openxmlformats.org/officeDocument/2006/relationships/hyperlink" Target="https://repository.stiesurakarta.ac.id/submission/d5d47f89-97ed-4f01-a3c4-9ea52d857fd3" TargetMode="External"/><Relationship Id="rId311" Type="http://schemas.openxmlformats.org/officeDocument/2006/relationships/hyperlink" Target="https://docs.google.com/document/d/1qW206DjNuxPwVPqwN7CTODDGFu2oE9bN/edit?usp=sharing&amp;ouid=113741177560435037779&amp;rtpof=true&amp;sd=true" TargetMode="External"/><Relationship Id="rId553" Type="http://schemas.openxmlformats.org/officeDocument/2006/relationships/hyperlink" Target="https://ejurnal.stie-trianandra.ac.id/index.php/jubima/article/view/1870" TargetMode="External"/><Relationship Id="rId795" Type="http://schemas.openxmlformats.org/officeDocument/2006/relationships/hyperlink" Target="https://repository.stiesurakarta.ac.id/submission/7d29822f-a583-4f39-8a90-1bfa56ed8b51" TargetMode="External"/><Relationship Id="rId310" Type="http://schemas.openxmlformats.org/officeDocument/2006/relationships/hyperlink" Target="https://docs.google.com/document/d/1UQFMS98QI4xCya3oB64Oj4QLEoxbFJ3X/edit?usp=sharing&amp;ouid=113741177560435037779&amp;rtpof=true&amp;sd=true" TargetMode="External"/><Relationship Id="rId552" Type="http://schemas.openxmlformats.org/officeDocument/2006/relationships/hyperlink" Target="https://ukitoraja.id/index.php/jumek/article/view/236" TargetMode="External"/><Relationship Id="rId794" Type="http://schemas.openxmlformats.org/officeDocument/2006/relationships/hyperlink" Target="https://journal.uyr.ac.id/index.php/BBM/article/view/751" TargetMode="External"/><Relationship Id="rId551" Type="http://schemas.openxmlformats.org/officeDocument/2006/relationships/hyperlink" Target="https://bajangjournal.com/index.php/JCI/article/view/6523" TargetMode="External"/><Relationship Id="rId793" Type="http://schemas.openxmlformats.org/officeDocument/2006/relationships/hyperlink" Target="https://www.jurnalintelektiva.com/index.php/jurnal/article/view/1147" TargetMode="External"/><Relationship Id="rId297" Type="http://schemas.openxmlformats.org/officeDocument/2006/relationships/hyperlink" Target="https://garuda.kemdikbud.go.id/documents/detail/2884455" TargetMode="External"/><Relationship Id="rId296" Type="http://schemas.openxmlformats.org/officeDocument/2006/relationships/hyperlink" Target="https://www.researchgate.net/publication/367587166_Analisis_Tingkat_Brand_Awareness_Masyarakat_Sukoharjo_terhadap_Produk_Multivitamin_Renovit_pada_PT_Konimex" TargetMode="External"/><Relationship Id="rId295" Type="http://schemas.openxmlformats.org/officeDocument/2006/relationships/hyperlink" Target="https://garuda.kemdikbud.go.id/documents/detail/2838159" TargetMode="External"/><Relationship Id="rId294" Type="http://schemas.openxmlformats.org/officeDocument/2006/relationships/hyperlink" Target="https://ejurnalmalahayati.ac.id/index.php/risetekonomi/article/view/6161" TargetMode="External"/><Relationship Id="rId299" Type="http://schemas.openxmlformats.org/officeDocument/2006/relationships/hyperlink" Target="https://drive.google.com/file/d/1RGiNF3ARp2ppjk6JDl2JgfG5I0nQ-LWH/view" TargetMode="External"/><Relationship Id="rId298" Type="http://schemas.openxmlformats.org/officeDocument/2006/relationships/hyperlink" Target="https://ulilalbabinstitute.id/index.php/EKOMA/article/view/595" TargetMode="External"/><Relationship Id="rId271" Type="http://schemas.openxmlformats.org/officeDocument/2006/relationships/hyperlink" Target="https://journal.uyr.ac.id/index.php/JAB/article/view/44-56" TargetMode="External"/><Relationship Id="rId270" Type="http://schemas.openxmlformats.org/officeDocument/2006/relationships/hyperlink" Target="https://garuda.kemdikbud.go.id/documents/detail/3158571" TargetMode="External"/><Relationship Id="rId269" Type="http://schemas.openxmlformats.org/officeDocument/2006/relationships/hyperlink" Target="https://ejurnal.seminar-id.com/index.php/ekuitas/article/view/1451" TargetMode="External"/><Relationship Id="rId264" Type="http://schemas.openxmlformats.org/officeDocument/2006/relationships/hyperlink" Target="https://bajangjournal.com/index.php/JEMBA/article/view/2209" TargetMode="External"/><Relationship Id="rId263" Type="http://schemas.openxmlformats.org/officeDocument/2006/relationships/hyperlink" Target="https://bajangjournal.com/index.php/JEMBA/article/view/2210" TargetMode="External"/><Relationship Id="rId262" Type="http://schemas.openxmlformats.org/officeDocument/2006/relationships/hyperlink" Target="https://plj.ac.id/ojs/index.php/jambi/article/view/583" TargetMode="External"/><Relationship Id="rId261" Type="http://schemas.openxmlformats.org/officeDocument/2006/relationships/hyperlink" Target="https://ojs.umrah.ac.id/index.php/jiafi/article/view/4211" TargetMode="External"/><Relationship Id="rId268" Type="http://schemas.openxmlformats.org/officeDocument/2006/relationships/hyperlink" Target="https://ejurnal.seminar-id.com/index.php/ekuitas/article/view/1451" TargetMode="External"/><Relationship Id="rId267" Type="http://schemas.openxmlformats.org/officeDocument/2006/relationships/hyperlink" Target="https://stia-binataruna.e-journal.id/PUBLIK/article/view/327" TargetMode="External"/><Relationship Id="rId266" Type="http://schemas.openxmlformats.org/officeDocument/2006/relationships/hyperlink" Target="https://bajangjournal.com/index.php/JEMBA/article/view/2203" TargetMode="External"/><Relationship Id="rId265" Type="http://schemas.openxmlformats.org/officeDocument/2006/relationships/hyperlink" Target="https://bajangjournal.com/index.php/JEMBA/article/view/2201" TargetMode="External"/><Relationship Id="rId260" Type="http://schemas.openxmlformats.org/officeDocument/2006/relationships/hyperlink" Target="https://jurnalpengabdian.stiesurakarta.ac.id/index.php/Dms/article/view/5" TargetMode="External"/><Relationship Id="rId259" Type="http://schemas.openxmlformats.org/officeDocument/2006/relationships/hyperlink" Target="https://jurnalfe.ustjogja.ac.id/index.php/ekobis/article/view/2958" TargetMode="External"/><Relationship Id="rId258" Type="http://schemas.openxmlformats.org/officeDocument/2006/relationships/hyperlink" Target="https://jurnalfe.ustjogja.ac.id/index.php/ekobis/article/view/2957" TargetMode="External"/><Relationship Id="rId253" Type="http://schemas.openxmlformats.org/officeDocument/2006/relationships/hyperlink" Target="https://jurnalpengabdian.stiesurakarta.ac.id/index.php/Dms/article/view/2" TargetMode="External"/><Relationship Id="rId495" Type="http://schemas.openxmlformats.org/officeDocument/2006/relationships/hyperlink" Target="https://www.journal.unrika.ac.id/index.php/MNDBHRU/article/view/5372" TargetMode="External"/><Relationship Id="rId252" Type="http://schemas.openxmlformats.org/officeDocument/2006/relationships/hyperlink" Target="https://jurnalpengabdian.stiesurakarta.ac.id/index.php/Dms/article/view/4" TargetMode="External"/><Relationship Id="rId494" Type="http://schemas.openxmlformats.org/officeDocument/2006/relationships/hyperlink" Target="https://ejurnal.stie-trianandra.ac.id/index.php/jubima/article/view/1892" TargetMode="External"/><Relationship Id="rId251" Type="http://schemas.openxmlformats.org/officeDocument/2006/relationships/hyperlink" Target="https://ejournal.goacademica.com/index.php/jk/article/view/533" TargetMode="External"/><Relationship Id="rId493" Type="http://schemas.openxmlformats.org/officeDocument/2006/relationships/hyperlink" Target="https://bajangjournal.com/index.php/JEMBA/article/view/6322" TargetMode="External"/><Relationship Id="rId250" Type="http://schemas.openxmlformats.org/officeDocument/2006/relationships/hyperlink" Target="https://ejournal.goacademica.com/index.php/jk/article/view/533" TargetMode="External"/><Relationship Id="rId492" Type="http://schemas.openxmlformats.org/officeDocument/2006/relationships/hyperlink" Target="https://drive.google.com/file/d/1oMA9_fsycXCg7_fRQ8X8uT7AAem0iTm2/view" TargetMode="External"/><Relationship Id="rId257" Type="http://schemas.openxmlformats.org/officeDocument/2006/relationships/hyperlink" Target="https://sosains.greenvest.co.id/index.php/sosains/article/view/395" TargetMode="External"/><Relationship Id="rId499" Type="http://schemas.openxmlformats.org/officeDocument/2006/relationships/hyperlink" Target="https://jurnal.unw.ac.id/index.php/jibaku/article/view/2501" TargetMode="External"/><Relationship Id="rId256" Type="http://schemas.openxmlformats.org/officeDocument/2006/relationships/hyperlink" Target="https://sosains.greenvest.co.id/index.php/sosains/article/view/395" TargetMode="External"/><Relationship Id="rId498" Type="http://schemas.openxmlformats.org/officeDocument/2006/relationships/hyperlink" Target="https://jurnal.stie-aas.ac.id/index.php/jie/article/view/9805" TargetMode="External"/><Relationship Id="rId255" Type="http://schemas.openxmlformats.org/officeDocument/2006/relationships/hyperlink" Target="https://jurnal.stietrisnanegara.ac.id/index.php/aktual/article/view/152" TargetMode="External"/><Relationship Id="rId497" Type="http://schemas.openxmlformats.org/officeDocument/2006/relationships/hyperlink" Target="https://publikasi.polije.ac.id/asersi/article/view/3963" TargetMode="External"/><Relationship Id="rId254" Type="http://schemas.openxmlformats.org/officeDocument/2006/relationships/hyperlink" Target="https://jurnal.stietrisnanegara.ac.id/index.php/aktual/article/view/150" TargetMode="External"/><Relationship Id="rId496" Type="http://schemas.openxmlformats.org/officeDocument/2006/relationships/hyperlink" Target="https://docs.google.com/document/d/1FAFNA-u-RUShVLkhyg8yOsoVfWv7gMPY/edit?usp=drive_link&amp;ouid=113741177560435037779&amp;rtpof=true&amp;sd=true" TargetMode="External"/><Relationship Id="rId293" Type="http://schemas.openxmlformats.org/officeDocument/2006/relationships/hyperlink" Target="https://garuda.kemdikbud.go.id/documents/detail/3209011" TargetMode="External"/><Relationship Id="rId292" Type="http://schemas.openxmlformats.org/officeDocument/2006/relationships/hyperlink" Target="https://garuda.kemdikbud.go.id/documents/detail/2838151" TargetMode="External"/><Relationship Id="rId291" Type="http://schemas.openxmlformats.org/officeDocument/2006/relationships/hyperlink" Target="https://journal.uyr.ac.id/index.php/JAB/article/view/57-66" TargetMode="External"/><Relationship Id="rId290" Type="http://schemas.openxmlformats.org/officeDocument/2006/relationships/hyperlink" Target="https://bajangjournal.com/index.php/Juremi/article/view/2387" TargetMode="External"/><Relationship Id="rId286" Type="http://schemas.openxmlformats.org/officeDocument/2006/relationships/hyperlink" Target="https://bajangjournal.com/index.php/JEMBA/article/view/2606" TargetMode="External"/><Relationship Id="rId285" Type="http://schemas.openxmlformats.org/officeDocument/2006/relationships/hyperlink" Target="https://bajangjournal.com/index.php/JEMBA/article/view/2622" TargetMode="External"/><Relationship Id="rId284" Type="http://schemas.openxmlformats.org/officeDocument/2006/relationships/hyperlink" Target="https://jurnal.stiesurakarta.ac.id/index.php/jebdeker/article/view/103" TargetMode="External"/><Relationship Id="rId283" Type="http://schemas.openxmlformats.org/officeDocument/2006/relationships/hyperlink" Target="https://jurnal.stiesurakarta.ac.id/index.php/jebdeker/article/view/104" TargetMode="External"/><Relationship Id="rId289" Type="http://schemas.openxmlformats.org/officeDocument/2006/relationships/hyperlink" Target="https://bajangjournal.com/index.php/Juremi/article/view/2692" TargetMode="External"/><Relationship Id="rId288" Type="http://schemas.openxmlformats.org/officeDocument/2006/relationships/hyperlink" Target="http://journal.uyr.ac.id/index.php/JAB/article/view/57-66" TargetMode="External"/><Relationship Id="rId287" Type="http://schemas.openxmlformats.org/officeDocument/2006/relationships/hyperlink" Target="https://bajangjournal.com/index.php/JEMBA/article/view/2622" TargetMode="External"/><Relationship Id="rId282" Type="http://schemas.openxmlformats.org/officeDocument/2006/relationships/hyperlink" Target="https://jurnal.stiesurakarta.ac.id/index.php/jebdeker/article/view/108" TargetMode="External"/><Relationship Id="rId281" Type="http://schemas.openxmlformats.org/officeDocument/2006/relationships/hyperlink" Target="https://jurnal.stiesurakarta.ac.id/index.php/jebdeker/article/view/104" TargetMode="External"/><Relationship Id="rId280" Type="http://schemas.openxmlformats.org/officeDocument/2006/relationships/hyperlink" Target="https://jurnal.stiesurakarta.ac.id/index.php/jebdeker/article/view/104" TargetMode="External"/><Relationship Id="rId275" Type="http://schemas.openxmlformats.org/officeDocument/2006/relationships/hyperlink" Target="https://jurnal.stie-aas.ac.id/index.php/IJEBAR/article/view/5467" TargetMode="External"/><Relationship Id="rId274" Type="http://schemas.openxmlformats.org/officeDocument/2006/relationships/hyperlink" Target="https://thejbis.upy.ac.id/index.php/jbis/article/view/115" TargetMode="External"/><Relationship Id="rId273" Type="http://schemas.openxmlformats.org/officeDocument/2006/relationships/hyperlink" Target="https://jurnal.stietrisnanegara.ac.id/index.php/PENAMAS/article/view/149" TargetMode="External"/><Relationship Id="rId272" Type="http://schemas.openxmlformats.org/officeDocument/2006/relationships/hyperlink" Target="https://journal.stekom.ac.id/index.php/Bisnis/article/view/603" TargetMode="External"/><Relationship Id="rId279" Type="http://schemas.openxmlformats.org/officeDocument/2006/relationships/hyperlink" Target="https://jurnal.stie-aas.ac.id/index.php/IJEBAR/article/view/4919" TargetMode="External"/><Relationship Id="rId278" Type="http://schemas.openxmlformats.org/officeDocument/2006/relationships/hyperlink" Target="https://jurnal.stie-aas.ac.id/index.php/IJEBAR/article/view/4919" TargetMode="External"/><Relationship Id="rId277" Type="http://schemas.openxmlformats.org/officeDocument/2006/relationships/hyperlink" Target="https://journal.uniku.ac.id/index.php/jeam/article/view/6107" TargetMode="External"/><Relationship Id="rId276" Type="http://schemas.openxmlformats.org/officeDocument/2006/relationships/hyperlink" Target="https://jurnalfe.ustjogja.ac.id/index.php/ekobis/article/view/2957" TargetMode="External"/><Relationship Id="rId907" Type="http://schemas.openxmlformats.org/officeDocument/2006/relationships/hyperlink" Target="https://repository.stiesurakarta.ac.id/uploads/files/submission/4477c4b3-18fb-4836-9f59-900bfb50a017/ycoSaTaH_revisi%20setelah%20sidang%20dian.pdf" TargetMode="External"/><Relationship Id="rId906" Type="http://schemas.openxmlformats.org/officeDocument/2006/relationships/hyperlink" Target="https://bajangjournal.com/index.php/Juremi/article/view/10282" TargetMode="External"/><Relationship Id="rId905" Type="http://schemas.openxmlformats.org/officeDocument/2006/relationships/hyperlink" Target="https://www.jurnalintelektiva.com/index.php/jurnal/article/view/1167" TargetMode="External"/><Relationship Id="rId904" Type="http://schemas.openxmlformats.org/officeDocument/2006/relationships/hyperlink" Target="https://repository.penerbiteureka.com/publications/569599/isu-terkini-riset-manajemen-bisnis-dan-ekonomi" TargetMode="External"/><Relationship Id="rId909" Type="http://schemas.openxmlformats.org/officeDocument/2006/relationships/hyperlink" Target="https://repository.stiesurakarta.ac.id/submission/73c0cd9b-db3f-4347-828d-0f66e767801a" TargetMode="External"/><Relationship Id="rId908" Type="http://schemas.openxmlformats.org/officeDocument/2006/relationships/hyperlink" Target="https://repository.stiesurakarta.ac.id/submission/99b1758a-0109-45e2-931b-452aba8b5615" TargetMode="External"/><Relationship Id="rId903" Type="http://schemas.openxmlformats.org/officeDocument/2006/relationships/hyperlink" Target="https://jurnalintelektiva.com/index.php/jurnal/article/view/1110" TargetMode="External"/><Relationship Id="rId902" Type="http://schemas.openxmlformats.org/officeDocument/2006/relationships/hyperlink" Target="https://repository.penerbiteureka.com/publications/579574/akuntansi-umkm-teori-dan-model-pengembangan-riset-terkini" TargetMode="External"/><Relationship Id="rId901" Type="http://schemas.openxmlformats.org/officeDocument/2006/relationships/hyperlink" Target="https://www.jurnalintelektiva.com/index.php/jurnal/article/view/1170" TargetMode="External"/><Relationship Id="rId900" Type="http://schemas.openxmlformats.org/officeDocument/2006/relationships/hyperlink" Target="https://ejurnal.kampusakademik.my.id/index.php/jemba/article/view/785" TargetMode="External"/><Relationship Id="rId929" Type="http://schemas.openxmlformats.org/officeDocument/2006/relationships/hyperlink" Target="https://jurnalpengabdian.stiesurakarta.ac.id/index.php/Dms/article/view/166" TargetMode="External"/><Relationship Id="rId928" Type="http://schemas.openxmlformats.org/officeDocument/2006/relationships/hyperlink" Target="https://jurnalpengabdian.stiesurakarta.ac.id/index.php/Dms/article/view/165" TargetMode="External"/><Relationship Id="rId927" Type="http://schemas.openxmlformats.org/officeDocument/2006/relationships/hyperlink" Target="https://jurnalpengabdian.stiesurakarta.ac.id/index.php/Dms/article/view/162" TargetMode="External"/><Relationship Id="rId926" Type="http://schemas.openxmlformats.org/officeDocument/2006/relationships/hyperlink" Target="https://jurnalpengabdian.stiesurakarta.ac.id/index.php/Dms/article/view/160" TargetMode="External"/><Relationship Id="rId921" Type="http://schemas.openxmlformats.org/officeDocument/2006/relationships/hyperlink" Target="https://jurnalfe.ustjogja.ac.id/index.php/akuntansi/article/view/4565" TargetMode="External"/><Relationship Id="rId920" Type="http://schemas.openxmlformats.org/officeDocument/2006/relationships/hyperlink" Target="https://journals.unihaz.ac.id/index.php/jaz/article/view/5153" TargetMode="External"/><Relationship Id="rId925" Type="http://schemas.openxmlformats.org/officeDocument/2006/relationships/hyperlink" Target="https://jurnalpengabdian.stiesurakarta.ac.id/index.php/Dms/article/view/150" TargetMode="External"/><Relationship Id="rId924" Type="http://schemas.openxmlformats.org/officeDocument/2006/relationships/hyperlink" Target="https://www.ejournal.joninstitute.org/index.php/ProBisnis/article/view/962" TargetMode="External"/><Relationship Id="rId923" Type="http://schemas.openxmlformats.org/officeDocument/2006/relationships/hyperlink" Target="https://jurnalpengabdian.stiesurakarta.ac.id/index.php/Dms/article/view/167" TargetMode="External"/><Relationship Id="rId922" Type="http://schemas.openxmlformats.org/officeDocument/2006/relationships/hyperlink" Target="https://bengawan.poltekindonusa.ac.id/index.php/jurnal_bengawan/article/view/183" TargetMode="External"/><Relationship Id="rId918" Type="http://schemas.openxmlformats.org/officeDocument/2006/relationships/hyperlink" Target="https://wnj.westsciences.com/index.php/jpws/article/view/2504" TargetMode="External"/><Relationship Id="rId917" Type="http://schemas.openxmlformats.org/officeDocument/2006/relationships/hyperlink" Target="https://iccms.ifrel.org/index.php/ICCMS/article/view/141" TargetMode="External"/><Relationship Id="rId916" Type="http://schemas.openxmlformats.org/officeDocument/2006/relationships/hyperlink" Target="https://jurnal.stie-aas.ac.id/index.php/jie/article/view/17626" TargetMode="External"/><Relationship Id="rId915" Type="http://schemas.openxmlformats.org/officeDocument/2006/relationships/hyperlink" Target="https://www.researchgate.net/publication/391780427_The_Impact_of_Digital_Transformation_on_Corporate_Competitiveness_in_Indonesia's_Creative_Economy_Sector" TargetMode="External"/><Relationship Id="rId919" Type="http://schemas.openxmlformats.org/officeDocument/2006/relationships/hyperlink" Target="https://journals.researchsynergypress.com/index.php/ijebce/article/view/3353" TargetMode="External"/><Relationship Id="rId910" Type="http://schemas.openxmlformats.org/officeDocument/2006/relationships/hyperlink" Target="https://repository.stiesurakarta.ac.id/submission/1e651da6-d7c1-45a0-8a34-6b3c1eee4c78" TargetMode="External"/><Relationship Id="rId914" Type="http://schemas.openxmlformats.org/officeDocument/2006/relationships/hyperlink" Target="https://americanjournal.us/index.php/american/article/view/91" TargetMode="External"/><Relationship Id="rId913" Type="http://schemas.openxmlformats.org/officeDocument/2006/relationships/hyperlink" Target="https://jurnalpengabdian.stiesurakarta.ac.id/index.php/Dms/article/view/164" TargetMode="External"/><Relationship Id="rId912" Type="http://schemas.openxmlformats.org/officeDocument/2006/relationships/hyperlink" Target="https://ejournal.utp.ac.id/index.php/TM/article/view/3880" TargetMode="External"/><Relationship Id="rId911" Type="http://schemas.openxmlformats.org/officeDocument/2006/relationships/hyperlink" Target="https://repository.stiesurakarta.ac.id/submission/788a5d00-ba17-4b4a-b97c-71ababc1df3f" TargetMode="External"/><Relationship Id="rId629" Type="http://schemas.openxmlformats.org/officeDocument/2006/relationships/hyperlink" Target="https://repository.stiesurakarta.ac.id/submission/9f8aa4f5-7327-4070-af75-cb9cdaa47123" TargetMode="External"/><Relationship Id="rId624" Type="http://schemas.openxmlformats.org/officeDocument/2006/relationships/hyperlink" Target="https://repository.stiesurakarta.ac.id/submission/94b20881-7e03-42e8-bfe9-de1bb19b7300" TargetMode="External"/><Relationship Id="rId866" Type="http://schemas.openxmlformats.org/officeDocument/2006/relationships/hyperlink" Target="https://repository.stiesurakarta.ac.id/submission/c5818bfb-2dfc-42bf-9ca2-3e99aeec85f1" TargetMode="External"/><Relationship Id="rId623" Type="http://schemas.openxmlformats.org/officeDocument/2006/relationships/hyperlink" Target="https://journal.areai.or.id/index.php/anggaran/article/view/378" TargetMode="External"/><Relationship Id="rId865" Type="http://schemas.openxmlformats.org/officeDocument/2006/relationships/hyperlink" Target="https://repository.stiesurakarta.ac.id/submission/446c2b13-a100-4abb-82e4-3fe750575372" TargetMode="External"/><Relationship Id="rId622" Type="http://schemas.openxmlformats.org/officeDocument/2006/relationships/hyperlink" Target="https://repository.stiesurakarta.ac.id/submission/9d92a763-936c-4114-82c0-fe27c4b44942" TargetMode="External"/><Relationship Id="rId864" Type="http://schemas.openxmlformats.org/officeDocument/2006/relationships/hyperlink" Target="https://repository.stiesurakarta.ac.id/submission/3dac7607-276b-48f5-8b67-c0d36b8aa68f" TargetMode="External"/><Relationship Id="rId621" Type="http://schemas.openxmlformats.org/officeDocument/2006/relationships/hyperlink" Target="https://jurnalhost.com/index.php/jpe/article/view/647" TargetMode="External"/><Relationship Id="rId863" Type="http://schemas.openxmlformats.org/officeDocument/2006/relationships/hyperlink" Target="https://repository.stiesurakarta.ac.id/submission/d03c0139-d517-43ee-b6b7-210dc867ee2f" TargetMode="External"/><Relationship Id="rId628" Type="http://schemas.openxmlformats.org/officeDocument/2006/relationships/hyperlink" Target="https://journal.staiypiqbaubau.ac.id/index.php/Mutiara/article/view/1098" TargetMode="External"/><Relationship Id="rId627" Type="http://schemas.openxmlformats.org/officeDocument/2006/relationships/hyperlink" Target="https://journal.unimar-amni.ac.id/index.php/profit/article/view/1961" TargetMode="External"/><Relationship Id="rId869" Type="http://schemas.openxmlformats.org/officeDocument/2006/relationships/hyperlink" Target="https://repository.stiesurakarta.ac.id/submission/2d68e3b4-6cbc-486e-9595-c78634536423" TargetMode="External"/><Relationship Id="rId626" Type="http://schemas.openxmlformats.org/officeDocument/2006/relationships/hyperlink" Target="https://prin.or.id/index.php/cemerlang/article/view/2628" TargetMode="External"/><Relationship Id="rId868" Type="http://schemas.openxmlformats.org/officeDocument/2006/relationships/hyperlink" Target="https://repository.stiesurakarta.ac.id/submission/d2968898-49fa-4670-b484-d840792c2c27" TargetMode="External"/><Relationship Id="rId625" Type="http://schemas.openxmlformats.org/officeDocument/2006/relationships/hyperlink" Target="https://bajangjournal.com/index.php/J-ABDI/article/view/7382/5742" TargetMode="External"/><Relationship Id="rId867" Type="http://schemas.openxmlformats.org/officeDocument/2006/relationships/hyperlink" Target="https://repository.stiesurakarta.ac.id/submission/30a7023c-43ef-4371-a115-f0d154dc81e8" TargetMode="External"/><Relationship Id="rId620" Type="http://schemas.openxmlformats.org/officeDocument/2006/relationships/hyperlink" Target="https://jurnal.studiinovasi.id/jsi/article/view/149" TargetMode="External"/><Relationship Id="rId862" Type="http://schemas.openxmlformats.org/officeDocument/2006/relationships/hyperlink" Target="https://repository.stiesurakarta.ac.id/submission/6f70b8bc-13e4-4960-a1c0-b1c9b863a46e" TargetMode="External"/><Relationship Id="rId861" Type="http://schemas.openxmlformats.org/officeDocument/2006/relationships/hyperlink" Target="https://repository.stiesurakarta.ac.id/submission/e154c1a1-cfd3-4c09-9f03-480f290e7cb2" TargetMode="External"/><Relationship Id="rId860" Type="http://schemas.openxmlformats.org/officeDocument/2006/relationships/hyperlink" Target="https://repository.stiesurakarta.ac.id/submission/88ce95ea-2bdc-433a-aa46-43f7282e7660" TargetMode="External"/><Relationship Id="rId619" Type="http://schemas.openxmlformats.org/officeDocument/2006/relationships/hyperlink" Target="https://ejurnal.ung.ac.id/index.php/JIMB/article/view/23550" TargetMode="External"/><Relationship Id="rId618" Type="http://schemas.openxmlformats.org/officeDocument/2006/relationships/hyperlink" Target="https://jfisip.uniss.ac.id/index.php/journals/article/view/66" TargetMode="External"/><Relationship Id="rId613" Type="http://schemas.openxmlformats.org/officeDocument/2006/relationships/hyperlink" Target="https://journal.unimar-amni.ac.id/index.php/EBISMEN/article/view/1909" TargetMode="External"/><Relationship Id="rId855" Type="http://schemas.openxmlformats.org/officeDocument/2006/relationships/hyperlink" Target="https://wiranomika.id/index.php/wiranomika/article/view/177" TargetMode="External"/><Relationship Id="rId612" Type="http://schemas.openxmlformats.org/officeDocument/2006/relationships/hyperlink" Target="https://jurnal.unived.ac.id/index.php/jambd/article/view/5555" TargetMode="External"/><Relationship Id="rId854" Type="http://schemas.openxmlformats.org/officeDocument/2006/relationships/hyperlink" Target="https://repository.stiesurakarta.ac.id/submission/410ff77e-ff9a-4ec2-9a1b-744206e36046" TargetMode="External"/><Relationship Id="rId611" Type="http://schemas.openxmlformats.org/officeDocument/2006/relationships/hyperlink" Target="https://drive.google.com/file/d/1eNQ8fHWeVWKlj6uuU7JhhtbaMmPBeeAe/view?usp=drive_link" TargetMode="External"/><Relationship Id="rId853" Type="http://schemas.openxmlformats.org/officeDocument/2006/relationships/hyperlink" Target="https://repository.stiesurakarta.ac.id/submission/e26de2c0-9eaa-40f9-9336-217a74215d31" TargetMode="External"/><Relationship Id="rId610" Type="http://schemas.openxmlformats.org/officeDocument/2006/relationships/hyperlink" Target="https://ojsicobuss.stiesia.ac.id/index.php/icobuss1st/article/view/451" TargetMode="External"/><Relationship Id="rId852" Type="http://schemas.openxmlformats.org/officeDocument/2006/relationships/hyperlink" Target="https://repository.stiesurakarta.ac.id/submission/172d09b8-aa20-41b8-838f-a30f4df669f3" TargetMode="External"/><Relationship Id="rId617" Type="http://schemas.openxmlformats.org/officeDocument/2006/relationships/hyperlink" Target="https://repository.stiesurakarta.ac.id/submission/1d52fdba-1aa2-4185-95b4-d9ad7d4bd279" TargetMode="External"/><Relationship Id="rId859" Type="http://schemas.openxmlformats.org/officeDocument/2006/relationships/hyperlink" Target="https://repository.stiesurakarta.ac.id/submission/9dfe6dc1-6a65-4113-bfe5-adb34eff5852" TargetMode="External"/><Relationship Id="rId616" Type="http://schemas.openxmlformats.org/officeDocument/2006/relationships/hyperlink" Target="https://repository.stiesurakarta.ac.id/submission/07237eb0-9c8c-46a0-996c-34192da4016a" TargetMode="External"/><Relationship Id="rId858" Type="http://schemas.openxmlformats.org/officeDocument/2006/relationships/hyperlink" Target="https://wiranomika.id/wiranomika/article/view/175" TargetMode="External"/><Relationship Id="rId615" Type="http://schemas.openxmlformats.org/officeDocument/2006/relationships/hyperlink" Target="https://garuda.kemdikbud.go.id/documents/detail/4938534" TargetMode="External"/><Relationship Id="rId857" Type="http://schemas.openxmlformats.org/officeDocument/2006/relationships/hyperlink" Target="https://repository.stiesurakarta.ac.id/submission/a46985e4-e6b2-414d-925f-ebafed119c44" TargetMode="External"/><Relationship Id="rId614" Type="http://schemas.openxmlformats.org/officeDocument/2006/relationships/hyperlink" Target="https://ejournal.utp.ac.id/index.php/ganesha/article/view/2972/520521991" TargetMode="External"/><Relationship Id="rId856" Type="http://schemas.openxmlformats.org/officeDocument/2006/relationships/hyperlink" Target="https://repository.stiesurakarta.ac.id/submission/9539a614-9171-47da-ad5d-756674a58a7a" TargetMode="External"/><Relationship Id="rId851" Type="http://schemas.openxmlformats.org/officeDocument/2006/relationships/hyperlink" Target="https://repository.stiesurakarta.ac.id/submission/c164a2f0-4636-4620-a4f0-302c6a9d84af" TargetMode="External"/><Relationship Id="rId850" Type="http://schemas.openxmlformats.org/officeDocument/2006/relationships/hyperlink" Target="https://repository.stiesurakarta.ac.id/submission/32632c34-b3c7-4c38-9d24-f952f2727d52" TargetMode="External"/><Relationship Id="rId409" Type="http://schemas.openxmlformats.org/officeDocument/2006/relationships/hyperlink" Target="http://ejurnal.setiabudi.ac.id/ojs/index.php/jbk/article/view/2081" TargetMode="External"/><Relationship Id="rId404" Type="http://schemas.openxmlformats.org/officeDocument/2006/relationships/hyperlink" Target="http://ejournal.urindo.ac.id/index.php/administrasimanajemen/article/view/2907" TargetMode="External"/><Relationship Id="rId646" Type="http://schemas.openxmlformats.org/officeDocument/2006/relationships/hyperlink" Target="https://drive.google.com/file/d/1pEAs-8w46IFeAoiRyFO2-nlPesdOQMpj/view?usp=drive_link" TargetMode="External"/><Relationship Id="rId888" Type="http://schemas.openxmlformats.org/officeDocument/2006/relationships/hyperlink" Target="https://e-journal.upr.ac.id/index.php/pdhp/article/view/18886" TargetMode="External"/><Relationship Id="rId403" Type="http://schemas.openxmlformats.org/officeDocument/2006/relationships/hyperlink" Target="https://journal.umpo.ac.id/index.php/ASSET/article/view/7677/3301" TargetMode="External"/><Relationship Id="rId645" Type="http://schemas.openxmlformats.org/officeDocument/2006/relationships/hyperlink" Target="https://ejournal.unhi.ac.id/index.php/widyamanajemen/article/view/5046" TargetMode="External"/><Relationship Id="rId887" Type="http://schemas.openxmlformats.org/officeDocument/2006/relationships/hyperlink" Target="https://journal.sinov.id/index.php/sinoveka/article/view/923" TargetMode="External"/><Relationship Id="rId402" Type="http://schemas.openxmlformats.org/officeDocument/2006/relationships/hyperlink" Target="https://docs.google.com/document/d/1K1At99u_BYzEbRlHqxWjfujZ_Pvuymul/edit?usp=drive_link&amp;ouid=113741177560435037779&amp;rtpof=true&amp;sd=true" TargetMode="External"/><Relationship Id="rId644" Type="http://schemas.openxmlformats.org/officeDocument/2006/relationships/hyperlink" Target="https://repository.stiesurakarta.ac.id/submission/f7d96cc2-3330-4207-95e7-24ee4b981dd6" TargetMode="External"/><Relationship Id="rId886" Type="http://schemas.openxmlformats.org/officeDocument/2006/relationships/hyperlink" Target="https://journal.sinov.id/index.php/sinoveka/article/view/919" TargetMode="External"/><Relationship Id="rId401" Type="http://schemas.openxmlformats.org/officeDocument/2006/relationships/hyperlink" Target="https://drive.google.com/file/d/1QlVB-5fEEIQobxoY1apnVSorlxtgR7rA/view?usp=sharing" TargetMode="External"/><Relationship Id="rId643" Type="http://schemas.openxmlformats.org/officeDocument/2006/relationships/hyperlink" Target="https://proceedings.uhamka.ac.id/index.php/semnas/article/view/694/412" TargetMode="External"/><Relationship Id="rId885" Type="http://schemas.openxmlformats.org/officeDocument/2006/relationships/hyperlink" Target="https://jurnal.stiesurakarta.ac.id/index.php/jebdeker/issue/archive" TargetMode="External"/><Relationship Id="rId408" Type="http://schemas.openxmlformats.org/officeDocument/2006/relationships/hyperlink" Target="https://ojs.unimal.ac.id/jmi/article/view/10802/0" TargetMode="External"/><Relationship Id="rId407" Type="http://schemas.openxmlformats.org/officeDocument/2006/relationships/hyperlink" Target="https://ojs.unimal.ac.id/jmi/article/view/10838/0" TargetMode="External"/><Relationship Id="rId649" Type="http://schemas.openxmlformats.org/officeDocument/2006/relationships/hyperlink" Target="https://ejournal.nusantaraglobal.ac.id/index.php/sentri/article/view/2450" TargetMode="External"/><Relationship Id="rId406" Type="http://schemas.openxmlformats.org/officeDocument/2006/relationships/hyperlink" Target="https://journal.unesa.ac.id/index.php/jim/article/view/20913" TargetMode="External"/><Relationship Id="rId648" Type="http://schemas.openxmlformats.org/officeDocument/2006/relationships/hyperlink" Target="https://repository.stiesurakarta.ac.id/submission/7fd9c8c2-7ab6-4111-b149-84c7104c9dad" TargetMode="External"/><Relationship Id="rId405" Type="http://schemas.openxmlformats.org/officeDocument/2006/relationships/hyperlink" Target="https://publish.ojs-indonesia.com/index.php/SINOMIKA/article/view/901" TargetMode="External"/><Relationship Id="rId647" Type="http://schemas.openxmlformats.org/officeDocument/2006/relationships/hyperlink" Target="https://repository.stiesurakarta.ac.id/submission/6cdcffd0-9a46-4fe0-8ad8-a592e2dacf6c" TargetMode="External"/><Relationship Id="rId889" Type="http://schemas.openxmlformats.org/officeDocument/2006/relationships/hyperlink" Target="https://repository.stiesurakarta.ac.id/submission/6a7f99e8-1609-4964-acbe-844f3efa7c53" TargetMode="External"/><Relationship Id="rId880" Type="http://schemas.openxmlformats.org/officeDocument/2006/relationships/hyperlink" Target="https://repository.stiesurakarta.ac.id/submission/b225a0ea-61df-45d0-8ec9-7f3ff8d71369" TargetMode="External"/><Relationship Id="rId400" Type="http://schemas.openxmlformats.org/officeDocument/2006/relationships/hyperlink" Target="https://journalkeberlanjutan.com/index.php/ahjpm/article/view/629" TargetMode="External"/><Relationship Id="rId642" Type="http://schemas.openxmlformats.org/officeDocument/2006/relationships/hyperlink" Target="https://proceedings.uhamka.ac.id/index.php/semnas/article/view/678/398" TargetMode="External"/><Relationship Id="rId884" Type="http://schemas.openxmlformats.org/officeDocument/2006/relationships/hyperlink" Target="https://jurnal.stiesurakarta.ac.id/index.php/jebdeker/issue/archive" TargetMode="External"/><Relationship Id="rId641" Type="http://schemas.openxmlformats.org/officeDocument/2006/relationships/hyperlink" Target="https://repository.stiesurakarta.ac.id/submission/49340423-2ab3-42c2-ac80-de1e8b2c5047" TargetMode="External"/><Relationship Id="rId883" Type="http://schemas.openxmlformats.org/officeDocument/2006/relationships/hyperlink" Target="https://jurnal.stiesurakarta.ac.id/index.php/jebdeker/issue/archive" TargetMode="External"/><Relationship Id="rId640" Type="http://schemas.openxmlformats.org/officeDocument/2006/relationships/hyperlink" Target="https://repository.stiesurakarta.ac.id/submission/ba597f0f-4a74-4346-aebd-753bd76cb8c0" TargetMode="External"/><Relationship Id="rId882" Type="http://schemas.openxmlformats.org/officeDocument/2006/relationships/hyperlink" Target="https://journalcenter.org/index.php/jupea/article/view/3855" TargetMode="External"/><Relationship Id="rId881" Type="http://schemas.openxmlformats.org/officeDocument/2006/relationships/hyperlink" Target="https://repository.stiesurakarta.ac.id/submission/2f76a620-f257-4baa-851e-5b822d62b808" TargetMode="External"/><Relationship Id="rId635" Type="http://schemas.openxmlformats.org/officeDocument/2006/relationships/hyperlink" Target="https://repository.stiesurakarta.ac.id/submission/58a9cfbb-ebfa-45b7-a8f4-785c62c265c0" TargetMode="External"/><Relationship Id="rId877" Type="http://schemas.openxmlformats.org/officeDocument/2006/relationships/hyperlink" Target="https://repository.stiesurakarta.ac.id/submission/7cd60bab-0792-4aa1-bac7-587762749108" TargetMode="External"/><Relationship Id="rId634" Type="http://schemas.openxmlformats.org/officeDocument/2006/relationships/hyperlink" Target="https://repository.stiesurakarta.ac.id/submission/3eaed161-8143-44da-b491-4291cc73f8fe" TargetMode="External"/><Relationship Id="rId876" Type="http://schemas.openxmlformats.org/officeDocument/2006/relationships/hyperlink" Target="https://repository.stiesurakarta.ac.id/submission/9338c5e9-3f72-4539-bad5-4228b8b928b3" TargetMode="External"/><Relationship Id="rId633" Type="http://schemas.openxmlformats.org/officeDocument/2006/relationships/hyperlink" Target="https://repository.stiesurakarta.ac.id/submission/7a90f491-b830-41ef-bc01-3657f210f430" TargetMode="External"/><Relationship Id="rId875" Type="http://schemas.openxmlformats.org/officeDocument/2006/relationships/hyperlink" Target="https://repository.stiesurakarta.ac.id/submission/1dee1547-6e55-43e6-8d66-415de61c2e24" TargetMode="External"/><Relationship Id="rId632" Type="http://schemas.openxmlformats.org/officeDocument/2006/relationships/hyperlink" Target="https://repository.stiesurakarta.ac.id/submission/8c2c1fe1-5ab3-4f8a-8dc7-519c5211d0db" TargetMode="External"/><Relationship Id="rId874" Type="http://schemas.openxmlformats.org/officeDocument/2006/relationships/hyperlink" Target="https://repository.stiesurakarta.ac.id/submission/dca022e4-3867-4b74-a7c8-d9e3308e760f" TargetMode="External"/><Relationship Id="rId639" Type="http://schemas.openxmlformats.org/officeDocument/2006/relationships/hyperlink" Target="https://repository.stiesurakarta.ac.id/submission/6aed5fa8-c1fa-4bdc-a130-1fd23a2a7158" TargetMode="External"/><Relationship Id="rId638" Type="http://schemas.openxmlformats.org/officeDocument/2006/relationships/hyperlink" Target="https://repository.stiesurakarta.ac.id/submission/2b14b846-fb72-4d59-9ded-5fc18275eea9" TargetMode="External"/><Relationship Id="rId637" Type="http://schemas.openxmlformats.org/officeDocument/2006/relationships/hyperlink" Target="https://repository.stiesurakarta.ac.id/submission/4f46d9ff-3c81-4d2c-bc5b-3b90155fec27" TargetMode="External"/><Relationship Id="rId879" Type="http://schemas.openxmlformats.org/officeDocument/2006/relationships/hyperlink" Target="https://repository.stiesurakarta.ac.id/submission/3671edb9-9a14-4922-a05f-d34d114143c9" TargetMode="External"/><Relationship Id="rId636" Type="http://schemas.openxmlformats.org/officeDocument/2006/relationships/hyperlink" Target="https://repository.stiesurakarta.ac.id/submission/6e1ef12f-708b-4df8-8b8d-befcfbb08c9f" TargetMode="External"/><Relationship Id="rId878" Type="http://schemas.openxmlformats.org/officeDocument/2006/relationships/hyperlink" Target="https://repository.stiesurakarta.ac.id/submission/f4d05f7b-d452-481d-a8c2-1790c8ab37c6" TargetMode="External"/><Relationship Id="rId631" Type="http://schemas.openxmlformats.org/officeDocument/2006/relationships/hyperlink" Target="https://repository.stiesurakarta.ac.id/submission/6ea62374-bff4-49c0-9d9d-7163209925b5" TargetMode="External"/><Relationship Id="rId873" Type="http://schemas.openxmlformats.org/officeDocument/2006/relationships/hyperlink" Target="https://repository.stiesurakarta.ac.id/submission/ee235ae1-04a8-44e3-a65d-31f90fc650a2" TargetMode="External"/><Relationship Id="rId630" Type="http://schemas.openxmlformats.org/officeDocument/2006/relationships/hyperlink" Target="https://repository.stiesurakarta.ac.id/submission/f40ec0ac-520c-4336-95b3-381ee94c9031" TargetMode="External"/><Relationship Id="rId872" Type="http://schemas.openxmlformats.org/officeDocument/2006/relationships/hyperlink" Target="https://repository.stiesurakarta.ac.id/submission/72095900-889b-4c8c-aa3c-bc58c9f75c3a" TargetMode="External"/><Relationship Id="rId871" Type="http://schemas.openxmlformats.org/officeDocument/2006/relationships/hyperlink" Target="https://repository.stiesurakarta.ac.id/submission/88c50a94-98d5-4795-a2b2-4a063a7efe59" TargetMode="External"/><Relationship Id="rId870" Type="http://schemas.openxmlformats.org/officeDocument/2006/relationships/hyperlink" Target="https://repository.stiesurakarta.ac.id/submission/ca892d5d-df9b-46a1-b933-006c7fe21147" TargetMode="External"/><Relationship Id="rId829" Type="http://schemas.openxmlformats.org/officeDocument/2006/relationships/hyperlink" Target="https://repository.stiesurakarta.ac.id/submission/293348d1-cdc5-44e6-9122-d51d51670f30" TargetMode="External"/><Relationship Id="rId828" Type="http://schemas.openxmlformats.org/officeDocument/2006/relationships/hyperlink" Target="https://repository.stiesurakarta.ac.id/submission/1d5e0bb5-c84c-4ec2-a1bc-d1f047a81d66" TargetMode="External"/><Relationship Id="rId827" Type="http://schemas.openxmlformats.org/officeDocument/2006/relationships/hyperlink" Target="https://jurnal.tintaemas.id/index.php/sehati/article/view/465" TargetMode="External"/><Relationship Id="rId822" Type="http://schemas.openxmlformats.org/officeDocument/2006/relationships/hyperlink" Target="https://repository.stiesurakarta.ac.id/submission/6a591854-1132-428f-b403-1f41691ed676" TargetMode="External"/><Relationship Id="rId821" Type="http://schemas.openxmlformats.org/officeDocument/2006/relationships/hyperlink" Target="https://repository.stiesurakarta.ac.id/submission/d94e1cce-e07f-46be-9e4a-29cad8377d6d" TargetMode="External"/><Relationship Id="rId820" Type="http://schemas.openxmlformats.org/officeDocument/2006/relationships/hyperlink" Target="https://drive.google.com/open?id=1C193mKOAtCbhTNMznGYZLW9Vv_SrsWma&amp;usp=drive_copy" TargetMode="External"/><Relationship Id="rId826" Type="http://schemas.openxmlformats.org/officeDocument/2006/relationships/hyperlink" Target="https://jurnal.tintaemas.id/index.php/sehati/article/view/466" TargetMode="External"/><Relationship Id="rId825" Type="http://schemas.openxmlformats.org/officeDocument/2006/relationships/hyperlink" Target="https://ejurnal.politeknikpratama.ac.id/index.php/jekombis/article/view/4866" TargetMode="External"/><Relationship Id="rId824" Type="http://schemas.openxmlformats.org/officeDocument/2006/relationships/hyperlink" Target="https://repository.stiesurakarta.ac.id/submission/fc68987a-a7ca-459e-8c23-d29e11773f84" TargetMode="External"/><Relationship Id="rId823" Type="http://schemas.openxmlformats.org/officeDocument/2006/relationships/hyperlink" Target="https://repository.stiesurakarta.ac.id/submission/2ccf55af-a0b1-4210-b915-fabe9258de73" TargetMode="External"/><Relationship Id="rId819" Type="http://schemas.openxmlformats.org/officeDocument/2006/relationships/hyperlink" Target="https://repository.stiesurakarta.ac.id/submission/b40f8b61-4041-4e61-910a-f0428ac061a2" TargetMode="External"/><Relationship Id="rId818" Type="http://schemas.openxmlformats.org/officeDocument/2006/relationships/hyperlink" Target="https://repository.stiesurakarta.ac.id/submission/44a3b908-7f95-4d05-afaa-62d525eb1d35" TargetMode="External"/><Relationship Id="rId817" Type="http://schemas.openxmlformats.org/officeDocument/2006/relationships/hyperlink" Target="https://repository.stiesurakarta.ac.id/submission/ee837b34-aacf-4d02-930c-c3d9f3716c92" TargetMode="External"/><Relationship Id="rId816" Type="http://schemas.openxmlformats.org/officeDocument/2006/relationships/hyperlink" Target="https://journal.smartpublisher.id/index.php/jilak/article/view/545" TargetMode="External"/><Relationship Id="rId811" Type="http://schemas.openxmlformats.org/officeDocument/2006/relationships/hyperlink" Target="https://repository.stiesurakarta.ac.id/submission/081b278d-e1a4-4bdf-aa6c-49e86ad5df66" TargetMode="External"/><Relationship Id="rId810" Type="http://schemas.openxmlformats.org/officeDocument/2006/relationships/hyperlink" Target="https://repository.stiesurakarta.ac.id/submission/c21c8c6c-7387-4b0c-be67-b94c8f68722f" TargetMode="External"/><Relationship Id="rId815" Type="http://schemas.openxmlformats.org/officeDocument/2006/relationships/hyperlink" Target="https://ejournal.uby.ac.id/index.php/ekobis/article/view/1715" TargetMode="External"/><Relationship Id="rId814" Type="http://schemas.openxmlformats.org/officeDocument/2006/relationships/hyperlink" Target="https://repository.stiesurakarta.ac.id/submission/064a4b1e-6e67-4f0b-93a3-78361536a78b" TargetMode="External"/><Relationship Id="rId813" Type="http://schemas.openxmlformats.org/officeDocument/2006/relationships/hyperlink" Target="https://ejurnal.kampusakademik.co.id/index.php/jaem/article/view/4046/version/4046" TargetMode="External"/><Relationship Id="rId812" Type="http://schemas.openxmlformats.org/officeDocument/2006/relationships/hyperlink" Target="https://repository.stiesurakarta.ac.id/submission/0bee84b1-dc6b-437a-95e0-af91f3a68432" TargetMode="External"/><Relationship Id="rId609" Type="http://schemas.openxmlformats.org/officeDocument/2006/relationships/hyperlink" Target="https://ejournal.goacademica.com/index.php/jk/article/view/877" TargetMode="External"/><Relationship Id="rId608" Type="http://schemas.openxmlformats.org/officeDocument/2006/relationships/hyperlink" Target="https://badanpenerbit.org/index.php/Akuntansi/article/view/1475" TargetMode="External"/><Relationship Id="rId607" Type="http://schemas.openxmlformats.org/officeDocument/2006/relationships/hyperlink" Target="http://journal.unigha.ac.id/index.php/JRR/article/view/2132" TargetMode="External"/><Relationship Id="rId849" Type="http://schemas.openxmlformats.org/officeDocument/2006/relationships/hyperlink" Target="https://repository.stiesurakarta.ac.id/submission/c0fd1e43-d07e-4dec-932f-512ad4ebc414" TargetMode="External"/><Relationship Id="rId602" Type="http://schemas.openxmlformats.org/officeDocument/2006/relationships/hyperlink" Target="https://ejurnal.kampusakademik.co.id/index.php/jiem/article/view/882/version/882" TargetMode="External"/><Relationship Id="rId844" Type="http://schemas.openxmlformats.org/officeDocument/2006/relationships/hyperlink" Target="https://repository.stiesurakarta.ac.id/submission/435017f2-028c-424e-86bb-a125d39166dd" TargetMode="External"/><Relationship Id="rId601" Type="http://schemas.openxmlformats.org/officeDocument/2006/relationships/hyperlink" Target="https://ejurnal.kampusakademik.co.id/index.php/jiem/article/view/885/version/885" TargetMode="External"/><Relationship Id="rId843" Type="http://schemas.openxmlformats.org/officeDocument/2006/relationships/hyperlink" Target="https://repository.stiesurakarta.ac.id/submission/eeb975ab-1c50-43ff-bcbe-5fb8bbb28ca9" TargetMode="External"/><Relationship Id="rId600" Type="http://schemas.openxmlformats.org/officeDocument/2006/relationships/hyperlink" Target="https://ejurnal.kampusakademik.co.id/index.php/jiem/article/view/884/version/884" TargetMode="External"/><Relationship Id="rId842" Type="http://schemas.openxmlformats.org/officeDocument/2006/relationships/hyperlink" Target="https://repository.stiesurakarta.ac.id/submission/b7010110-2925-4e3b-a737-a6cecd4a7518" TargetMode="External"/><Relationship Id="rId841" Type="http://schemas.openxmlformats.org/officeDocument/2006/relationships/hyperlink" Target="https://repository.stiesurakarta.ac.id/submission/586ad1a2-8991-4cb8-9ea9-d012c528d1f9" TargetMode="External"/><Relationship Id="rId606" Type="http://schemas.openxmlformats.org/officeDocument/2006/relationships/hyperlink" Target="https://ejurnal.kampusakademik.co.id/index.php/jiem/article/view/1034" TargetMode="External"/><Relationship Id="rId848" Type="http://schemas.openxmlformats.org/officeDocument/2006/relationships/hyperlink" Target="https://repository.stiesurakarta.ac.id/submission/298b6b6b-ace4-4a7d-8bcf-2321bd1867eb" TargetMode="External"/><Relationship Id="rId605" Type="http://schemas.openxmlformats.org/officeDocument/2006/relationships/hyperlink" Target="https://ejurnal.kampusakademik.co.id/index.php/jiem/article/view/1000" TargetMode="External"/><Relationship Id="rId847" Type="http://schemas.openxmlformats.org/officeDocument/2006/relationships/hyperlink" Target="https://repository.stiesurakarta.ac.id/submission/137fee20-98e2-4fd3-98ec-a1c6b3166128" TargetMode="External"/><Relationship Id="rId604" Type="http://schemas.openxmlformats.org/officeDocument/2006/relationships/hyperlink" Target="https://ejurnal.kampusakademik.co.id/index.php/jiem/article/view/1031/version/1031" TargetMode="External"/><Relationship Id="rId846" Type="http://schemas.openxmlformats.org/officeDocument/2006/relationships/hyperlink" Target="https://repository.stiesurakarta.ac.id/submission/d645357b-e3aa-4e5c-adde-68d3222d8e25" TargetMode="External"/><Relationship Id="rId603" Type="http://schemas.openxmlformats.org/officeDocument/2006/relationships/hyperlink" Target="https://ejurnal.kampusakademik.co.id/index.php/jiem/article/view/979" TargetMode="External"/><Relationship Id="rId845" Type="http://schemas.openxmlformats.org/officeDocument/2006/relationships/hyperlink" Target="https://repository.stiesurakarta.ac.id/submission/242ed7db-e806-4711-80a6-ede3a0440721" TargetMode="External"/><Relationship Id="rId840" Type="http://schemas.openxmlformats.org/officeDocument/2006/relationships/hyperlink" Target="https://repository.stiesurakarta.ac.id/submission/378e8f67-afbd-4e93-8da9-2fa8b2115f7c" TargetMode="External"/><Relationship Id="rId839" Type="http://schemas.openxmlformats.org/officeDocument/2006/relationships/hyperlink" Target="https://repository.stiesurakarta.ac.id/submission/221aeea6-09ab-4600-8e06-08c96ed90f97" TargetMode="External"/><Relationship Id="rId838" Type="http://schemas.openxmlformats.org/officeDocument/2006/relationships/hyperlink" Target="https://repository.stiesurakarta.ac.id/submission/e554c3b7-feb8-466c-bffe-47ccfed6982d" TargetMode="External"/><Relationship Id="rId833" Type="http://schemas.openxmlformats.org/officeDocument/2006/relationships/hyperlink" Target="https://ejurnals.com/ojs/index.php/jmam/article/view/1530" TargetMode="External"/><Relationship Id="rId832" Type="http://schemas.openxmlformats.org/officeDocument/2006/relationships/hyperlink" Target="https://ejurnal.kampusakademik.co.id/index.php/jiem/article/view/4111/version/4111" TargetMode="External"/><Relationship Id="rId831" Type="http://schemas.openxmlformats.org/officeDocument/2006/relationships/hyperlink" Target="https://repository.stiesurakarta.ac.id/submission/772ab8d1-16da-44b2-8a6a-380525f9974c" TargetMode="External"/><Relationship Id="rId830" Type="http://schemas.openxmlformats.org/officeDocument/2006/relationships/hyperlink" Target="https://repository.stiesurakarta.ac.id/submission/14267d1b-6322-48c3-b370-f12d0ee5ba16" TargetMode="External"/><Relationship Id="rId837" Type="http://schemas.openxmlformats.org/officeDocument/2006/relationships/hyperlink" Target="https://ejournal.kompetif.com/index.php/dayasaing/article/view/2047" TargetMode="External"/><Relationship Id="rId836" Type="http://schemas.openxmlformats.org/officeDocument/2006/relationships/hyperlink" Target="https://repository.stiesurakarta.ac.id/submission/3eaa79a1-1249-4e53-9b6f-8e77abd3120d" TargetMode="External"/><Relationship Id="rId835" Type="http://schemas.openxmlformats.org/officeDocument/2006/relationships/hyperlink" Target="https://repository.stiesurakarta.ac.id/submission/f0a4b032-5388-4b20-862b-91a4cb12aeb4" TargetMode="External"/><Relationship Id="rId834" Type="http://schemas.openxmlformats.org/officeDocument/2006/relationships/hyperlink" Target="https://jurnal.ugm.ac.id/abis/article/view/104164" TargetMode="External"/><Relationship Id="rId228" Type="http://schemas.openxmlformats.org/officeDocument/2006/relationships/hyperlink" Target="https://ejournal.stpmataram.ac.id/JIP/article/view/1511" TargetMode="External"/><Relationship Id="rId227" Type="http://schemas.openxmlformats.org/officeDocument/2006/relationships/hyperlink" Target="https://ejournal.goacademica.com/index.php/jk/article/view/531" TargetMode="External"/><Relationship Id="rId469" Type="http://schemas.openxmlformats.org/officeDocument/2006/relationships/hyperlink" Target="https://www.researchgate.net/publication/375760015_MENGUJI_KINERJA_PEMASARAN_TERHADAP_KEPUTUSAN_PEMBELIAN_PRODUK_SCARLETT" TargetMode="External"/><Relationship Id="rId226" Type="http://schemas.openxmlformats.org/officeDocument/2006/relationships/hyperlink" Target="https://ejournal.goacademica.com/index.php/jk/article/view/532" TargetMode="External"/><Relationship Id="rId468" Type="http://schemas.openxmlformats.org/officeDocument/2006/relationships/hyperlink" Target="https://jurnalpengabdian.stiesurakarta.ac.id/index.php/Dms/article/view/41" TargetMode="External"/><Relationship Id="rId225" Type="http://schemas.openxmlformats.org/officeDocument/2006/relationships/hyperlink" Target="https://ejournal.goacademica.com/index.php/jk/article/view/531" TargetMode="External"/><Relationship Id="rId467" Type="http://schemas.openxmlformats.org/officeDocument/2006/relationships/hyperlink" Target="https://jurnalpengabdian.stiesurakarta.ac.id/index.php/Dms/article/view/26" TargetMode="External"/><Relationship Id="rId229" Type="http://schemas.openxmlformats.org/officeDocument/2006/relationships/hyperlink" Target="https://jurnal.stie-aas.ac.id/index.php/jie/article/view/4720" TargetMode="External"/><Relationship Id="rId220" Type="http://schemas.openxmlformats.org/officeDocument/2006/relationships/hyperlink" Target="https://jiss.publikasiindonesia.id/index.php/jiss/article/view/574" TargetMode="External"/><Relationship Id="rId462" Type="http://schemas.openxmlformats.org/officeDocument/2006/relationships/hyperlink" Target="https://ejournal.pelitaindonesia.ac.id/ojs32/index.php/KURS/article/view/2890" TargetMode="External"/><Relationship Id="rId461" Type="http://schemas.openxmlformats.org/officeDocument/2006/relationships/hyperlink" Target="https://ejournal.pelitaindonesia.ac.id/ojs32/index.php/KURS/article/view/2900" TargetMode="External"/><Relationship Id="rId460" Type="http://schemas.openxmlformats.org/officeDocument/2006/relationships/hyperlink" Target="https://jurnal.stiesurakarta.ac.id/index.php/jebdeker/article/view/191" TargetMode="External"/><Relationship Id="rId224" Type="http://schemas.openxmlformats.org/officeDocument/2006/relationships/hyperlink" Target="https://jeam.jurnal.unej.ac.id/index.php/JEAM/article/view/30311" TargetMode="External"/><Relationship Id="rId466" Type="http://schemas.openxmlformats.org/officeDocument/2006/relationships/hyperlink" Target="https://ulilalbabinstitute.id/index.php/EKOMA/article/view/595" TargetMode="External"/><Relationship Id="rId223" Type="http://schemas.openxmlformats.org/officeDocument/2006/relationships/hyperlink" Target="https://jurnal.unej.ac.id/index.php/JEAM/article/view/30341" TargetMode="External"/><Relationship Id="rId465" Type="http://schemas.openxmlformats.org/officeDocument/2006/relationships/hyperlink" Target="http://journal.uyr.ac.id/index.php/JAB/article/view/52-66" TargetMode="External"/><Relationship Id="rId222" Type="http://schemas.openxmlformats.org/officeDocument/2006/relationships/hyperlink" Target="https://jiss.publikasiindonesia.id/index.php/jiss/article/view/574" TargetMode="External"/><Relationship Id="rId464" Type="http://schemas.openxmlformats.org/officeDocument/2006/relationships/hyperlink" Target="https://e-journal.poltek-kampar.ac.id/index.php/MASIP/article/view/213/200" TargetMode="External"/><Relationship Id="rId221" Type="http://schemas.openxmlformats.org/officeDocument/2006/relationships/hyperlink" Target="https://bajangjournal.com/index.php/JCI/article/view/2019" TargetMode="External"/><Relationship Id="rId463" Type="http://schemas.openxmlformats.org/officeDocument/2006/relationships/hyperlink" Target="https://researchhub.id/index.php/optimal/article/view/1424" TargetMode="External"/><Relationship Id="rId217" Type="http://schemas.openxmlformats.org/officeDocument/2006/relationships/hyperlink" Target="https://ejournal.goacademica.com/index.php/jk/article/view/521" TargetMode="External"/><Relationship Id="rId459" Type="http://schemas.openxmlformats.org/officeDocument/2006/relationships/hyperlink" Target="https://jurnal.stiesurakarta.ac.id/index.php/jebdeker/article/view/190" TargetMode="External"/><Relationship Id="rId216" Type="http://schemas.openxmlformats.org/officeDocument/2006/relationships/hyperlink" Target="https://jurnal.stie-aas.ac.id/index.php/jie/article/view/4713" TargetMode="External"/><Relationship Id="rId458" Type="http://schemas.openxmlformats.org/officeDocument/2006/relationships/hyperlink" Target="https://openaccessojs.com/JBReview/article/view/1804" TargetMode="External"/><Relationship Id="rId215" Type="http://schemas.openxmlformats.org/officeDocument/2006/relationships/hyperlink" Target="https://jurnal.stietotalwin.ac.id/index.php/pakem/article/view/373" TargetMode="External"/><Relationship Id="rId457" Type="http://schemas.openxmlformats.org/officeDocument/2006/relationships/hyperlink" Target="https://jurnal.stiesurakarta.ac.id/index.php/jebdeker/article/view/192" TargetMode="External"/><Relationship Id="rId699" Type="http://schemas.openxmlformats.org/officeDocument/2006/relationships/hyperlink" Target="https://ejurnal.politeknikpratama.ac.id/index.php/jekombis/article/view/4102" TargetMode="External"/><Relationship Id="rId214" Type="http://schemas.openxmlformats.org/officeDocument/2006/relationships/hyperlink" Target="https://drive.google.com/file/d/1xCWsxO1LxLvTXsMvBn3woXUdmEPVbHYN/view" TargetMode="External"/><Relationship Id="rId456" Type="http://schemas.openxmlformats.org/officeDocument/2006/relationships/hyperlink" Target="https://jurnal.stiesurakarta.ac.id/index.php/jebdeker/article/view/168" TargetMode="External"/><Relationship Id="rId698" Type="http://schemas.openxmlformats.org/officeDocument/2006/relationships/hyperlink" Target="https://journal.upy.ac.id/index.php/lppm/article/view/6343" TargetMode="External"/><Relationship Id="rId219" Type="http://schemas.openxmlformats.org/officeDocument/2006/relationships/hyperlink" Target="https://financial.ac.id/index.php/financial/article/view/211" TargetMode="External"/><Relationship Id="rId218" Type="http://schemas.openxmlformats.org/officeDocument/2006/relationships/hyperlink" Target="https://drive.google.com/file/d/1dvab1HqXxkohTZFD618aeZCX5_y67FO4/view?usp=drive_link" TargetMode="External"/><Relationship Id="rId451" Type="http://schemas.openxmlformats.org/officeDocument/2006/relationships/hyperlink" Target="https://jurnal.seaninstitute.or.id/index.php/marekonomi/article/view/136" TargetMode="External"/><Relationship Id="rId693" Type="http://schemas.openxmlformats.org/officeDocument/2006/relationships/hyperlink" Target="https://drive.google.com/drive/folders/1IqTbCNJiWbjj8VTvPfCQfQXYzpkwvz2h" TargetMode="External"/><Relationship Id="rId450" Type="http://schemas.openxmlformats.org/officeDocument/2006/relationships/hyperlink" Target="https://journal.sinov.id/index.php/jurimbik/article/view/483" TargetMode="External"/><Relationship Id="rId692" Type="http://schemas.openxmlformats.org/officeDocument/2006/relationships/hyperlink" Target="https://bajangjournal.com/index.php/Juremi/article/view/7938" TargetMode="External"/><Relationship Id="rId691" Type="http://schemas.openxmlformats.org/officeDocument/2006/relationships/hyperlink" Target="http://www.journal.umuslim.ac.id/index.php/pkm/article/view/2399" TargetMode="External"/><Relationship Id="rId690" Type="http://schemas.openxmlformats.org/officeDocument/2006/relationships/hyperlink" Target="https://www.bajangjournal.com/index.php/J-ABDI/article/view/7845" TargetMode="External"/><Relationship Id="rId213" Type="http://schemas.openxmlformats.org/officeDocument/2006/relationships/hyperlink" Target="https://jurnal.stietrisnanegara.ac.id/index.php/aktual/article/view/151" TargetMode="External"/><Relationship Id="rId455" Type="http://schemas.openxmlformats.org/officeDocument/2006/relationships/hyperlink" Target="https://jurnal.stiesurakarta.ac.id/index.php/jebdeker/article/view/178" TargetMode="External"/><Relationship Id="rId697" Type="http://schemas.openxmlformats.org/officeDocument/2006/relationships/hyperlink" Target="https://ejurnal.stie-trianandra.ac.id/index.php/jumia/article/view/3230" TargetMode="External"/><Relationship Id="rId212" Type="http://schemas.openxmlformats.org/officeDocument/2006/relationships/hyperlink" Target="https://ejournal.stiepancasetia.ac.id/jieb/article/view/674" TargetMode="External"/><Relationship Id="rId454" Type="http://schemas.openxmlformats.org/officeDocument/2006/relationships/hyperlink" Target="https://jurnal.stiesurakarta.ac.id/index.php/jebdeker/article/view/194" TargetMode="External"/><Relationship Id="rId696" Type="http://schemas.openxmlformats.org/officeDocument/2006/relationships/hyperlink" Target="https://drive.google.com/file/d/1zve1N8MdC_s8uAnZfAwKKOAZpUyOdfdq/view?usp=sharing" TargetMode="External"/><Relationship Id="rId211" Type="http://schemas.openxmlformats.org/officeDocument/2006/relationships/hyperlink" Target="https://www.ijmcer.com/volume-4-issue-2/" TargetMode="External"/><Relationship Id="rId453" Type="http://schemas.openxmlformats.org/officeDocument/2006/relationships/hyperlink" Target="https://docs.google.com/document/d/1qHc-QHIJuffFKc_Ea8IEukGXn9gu9HOD/edit?usp=drive_link&amp;ouid=113741177560435037779&amp;rtpof=true&amp;sd=true" TargetMode="External"/><Relationship Id="rId695" Type="http://schemas.openxmlformats.org/officeDocument/2006/relationships/hyperlink" Target="https://journal.upy.ac.id/index.php/ubmj/article/view/6455" TargetMode="External"/><Relationship Id="rId210" Type="http://schemas.openxmlformats.org/officeDocument/2006/relationships/hyperlink" Target="https://ojspustek.org/index.php/SJR/article/view/456" TargetMode="External"/><Relationship Id="rId452" Type="http://schemas.openxmlformats.org/officeDocument/2006/relationships/hyperlink" Target="https://drive.google.com/file/d/1-MZhOHRxJQMuMmB1geUZTmmsEd7IeU0j/view" TargetMode="External"/><Relationship Id="rId694" Type="http://schemas.openxmlformats.org/officeDocument/2006/relationships/hyperlink" Target="https://ejurnal.kampusakademik.co.id/index.php/jrme/article/view/2119" TargetMode="External"/><Relationship Id="rId491" Type="http://schemas.openxmlformats.org/officeDocument/2006/relationships/hyperlink" Target="https://ejurnal.stie-trianandra.ac.id/index.php/jubima/article/view/1870" TargetMode="External"/><Relationship Id="rId490" Type="http://schemas.openxmlformats.org/officeDocument/2006/relationships/hyperlink" Target="https://repository.stiesurakarta.ac.id/submission/7fb30999-a2bf-44b2-bbff-e77094aea8ad" TargetMode="External"/><Relationship Id="rId249" Type="http://schemas.openxmlformats.org/officeDocument/2006/relationships/hyperlink" Target="https://jurnal.umsu.ac.id/index.php/JAKK/article/view/9924" TargetMode="External"/><Relationship Id="rId248" Type="http://schemas.openxmlformats.org/officeDocument/2006/relationships/hyperlink" Target="https://jurnal.umsu.ac.id/index.php/JAKK/article/view/9984" TargetMode="External"/><Relationship Id="rId247" Type="http://schemas.openxmlformats.org/officeDocument/2006/relationships/hyperlink" Target="https://ejournal.urindo.ac.id/index.php/administrasimanajemen/article/view/2174" TargetMode="External"/><Relationship Id="rId489" Type="http://schemas.openxmlformats.org/officeDocument/2006/relationships/hyperlink" Target="https://repository.stiesurakarta.ac.id/submission/b3915ce9-05c6-49d1-b829-350f27aea4e0" TargetMode="External"/><Relationship Id="rId242" Type="http://schemas.openxmlformats.org/officeDocument/2006/relationships/hyperlink" Target="https://bajangjournal.com/index.php/Juremi/article/view/2082" TargetMode="External"/><Relationship Id="rId484" Type="http://schemas.openxmlformats.org/officeDocument/2006/relationships/hyperlink" Target="https://repository.stiesurakarta.ac.id/submission/83454f91-39a9-4741-bad6-c1fa27c50a3a" TargetMode="External"/><Relationship Id="rId241" Type="http://schemas.openxmlformats.org/officeDocument/2006/relationships/hyperlink" Target="https://bajangjournal.com/index.php/Juremi/article/view/2088" TargetMode="External"/><Relationship Id="rId483" Type="http://schemas.openxmlformats.org/officeDocument/2006/relationships/hyperlink" Target="https://repository.stiesurakarta.ac.id/submission/51e89978-3d1f-4efd-b013-58d3b7ff32f4" TargetMode="External"/><Relationship Id="rId240" Type="http://schemas.openxmlformats.org/officeDocument/2006/relationships/hyperlink" Target="https://bajangjournal.com/index.php/Juremi/article/view/2080" TargetMode="External"/><Relationship Id="rId482" Type="http://schemas.openxmlformats.org/officeDocument/2006/relationships/hyperlink" Target="https://drive.google.com/file/d/1LpA3GnjIY9C_nrVRT1UEmK8pk7aBqXvL/view?usp=drive_link" TargetMode="External"/><Relationship Id="rId481" Type="http://schemas.openxmlformats.org/officeDocument/2006/relationships/hyperlink" Target="https://jurnal.itbsemarang.ac.id/index.php/JREA/article/view/645" TargetMode="External"/><Relationship Id="rId246" Type="http://schemas.openxmlformats.org/officeDocument/2006/relationships/hyperlink" Target="https://itskhatulistiwa.ac.id/ojsapresiasiekonomi/index.php/apresiasiekonomi/article/view/460" TargetMode="External"/><Relationship Id="rId488" Type="http://schemas.openxmlformats.org/officeDocument/2006/relationships/hyperlink" Target="https://bajangjournal.com/index.php/JCI/article/view/6130/4624" TargetMode="External"/><Relationship Id="rId245" Type="http://schemas.openxmlformats.org/officeDocument/2006/relationships/hyperlink" Target="https://jurnal.umsu.ac.id/index.php/JAKK/article/view/9984" TargetMode="External"/><Relationship Id="rId487" Type="http://schemas.openxmlformats.org/officeDocument/2006/relationships/hyperlink" Target="https://repository.stiesurakarta.ac.id/submission/384763c5-be64-4dfc-8b4f-678f5222427f" TargetMode="External"/><Relationship Id="rId244" Type="http://schemas.openxmlformats.org/officeDocument/2006/relationships/hyperlink" Target="https://jurnal.umsu.ac.id/index.php/JAKK/article/view/9924" TargetMode="External"/><Relationship Id="rId486" Type="http://schemas.openxmlformats.org/officeDocument/2006/relationships/hyperlink" Target="https://bajangjournal.com/index.php/JCI/article/view/6130" TargetMode="External"/><Relationship Id="rId243" Type="http://schemas.openxmlformats.org/officeDocument/2006/relationships/hyperlink" Target="https://bajangjournal.com/index.php/Juremi/article/view/2091" TargetMode="External"/><Relationship Id="rId485" Type="http://schemas.openxmlformats.org/officeDocument/2006/relationships/hyperlink" Target="https://repository.stiesurakarta.ac.id/submission/b39cb1fc-27cb-4816-92c7-bfd902194fc9" TargetMode="External"/><Relationship Id="rId480" Type="http://schemas.openxmlformats.org/officeDocument/2006/relationships/hyperlink" Target="https://journal.staiypiqbaubau.ac.id/index.php/Maslahah/article/view/270" TargetMode="External"/><Relationship Id="rId239" Type="http://schemas.openxmlformats.org/officeDocument/2006/relationships/hyperlink" Target="https://journal.stmikjayakarta.ac.id/index.php/jisamar/article/view/775" TargetMode="External"/><Relationship Id="rId238" Type="http://schemas.openxmlformats.org/officeDocument/2006/relationships/hyperlink" Target="https://bajangjournal.com/index.php/Juremi/article/view/2090" TargetMode="External"/><Relationship Id="rId237" Type="http://schemas.openxmlformats.org/officeDocument/2006/relationships/hyperlink" Target="https://bajangjournal.com/index.php/Juremi/article/view/2083" TargetMode="External"/><Relationship Id="rId479" Type="http://schemas.openxmlformats.org/officeDocument/2006/relationships/hyperlink" Target="https://jurnal.itbsemarang.ac.id/index.php/jurma/article/view/639" TargetMode="External"/><Relationship Id="rId236" Type="http://schemas.openxmlformats.org/officeDocument/2006/relationships/hyperlink" Target="https://bajangjournal.com/index.php/Juremi/article/view/2081/1448" TargetMode="External"/><Relationship Id="rId478" Type="http://schemas.openxmlformats.org/officeDocument/2006/relationships/hyperlink" Target="https://jurnal.peko.uniba-bpn.ac.id/index.php/Edueco/article/view/152" TargetMode="External"/><Relationship Id="rId231" Type="http://schemas.openxmlformats.org/officeDocument/2006/relationships/hyperlink" Target="https://jurnal.stie-aas.ac.id/index.php/jie/article/view/4978" TargetMode="External"/><Relationship Id="rId473" Type="http://schemas.openxmlformats.org/officeDocument/2006/relationships/hyperlink" Target="https://ejournal.uby.ac.id/index.php/ekobis/article/view/1029" TargetMode="External"/><Relationship Id="rId230" Type="http://schemas.openxmlformats.org/officeDocument/2006/relationships/hyperlink" Target="https://jurnal.stie-aas.ac.id/index.php/jie/article/view/4977" TargetMode="External"/><Relationship Id="rId472" Type="http://schemas.openxmlformats.org/officeDocument/2006/relationships/hyperlink" Target="https://ejournal.nusantaraglobal.ac.id/index.php/sentri/article/view/1175" TargetMode="External"/><Relationship Id="rId471" Type="http://schemas.openxmlformats.org/officeDocument/2006/relationships/hyperlink" Target="https://e-journal.poltek-kampar.ac.id/index.php/DINAMIKAPUBLIK/article/view/266" TargetMode="External"/><Relationship Id="rId470" Type="http://schemas.openxmlformats.org/officeDocument/2006/relationships/hyperlink" Target="https://garuda.kemdikbud.go.id/documents/detail/3571896" TargetMode="External"/><Relationship Id="rId235" Type="http://schemas.openxmlformats.org/officeDocument/2006/relationships/hyperlink" Target="https://bajangjournal.com/index.php/Juremi/article/view/2079" TargetMode="External"/><Relationship Id="rId477" Type="http://schemas.openxmlformats.org/officeDocument/2006/relationships/hyperlink" Target="https://ejurnal.stie-trianandra.ac.id/index.php/jubima/article/view/1828" TargetMode="External"/><Relationship Id="rId234" Type="http://schemas.openxmlformats.org/officeDocument/2006/relationships/hyperlink" Target="https://bajangjournal.com/index.php/Juremi/article/view/2080" TargetMode="External"/><Relationship Id="rId476" Type="http://schemas.openxmlformats.org/officeDocument/2006/relationships/hyperlink" Target="https://jurnal.unismuhpalu.ac.id/index.php/JSM/article/view/2821" TargetMode="External"/><Relationship Id="rId233" Type="http://schemas.openxmlformats.org/officeDocument/2006/relationships/hyperlink" Target="https://jurnal.stie-aas.ac.id/index.php/jie/article/view/4977" TargetMode="External"/><Relationship Id="rId475" Type="http://schemas.openxmlformats.org/officeDocument/2006/relationships/hyperlink" Target="https://jurnal.unismuhpalu.ac.id/index.php/JSM/article/view/2821" TargetMode="External"/><Relationship Id="rId232" Type="http://schemas.openxmlformats.org/officeDocument/2006/relationships/hyperlink" Target="https://journal.stiem.ac.id/index.php/jureq/article/view/978" TargetMode="External"/><Relationship Id="rId474" Type="http://schemas.openxmlformats.org/officeDocument/2006/relationships/hyperlink" Target="https://jurnalfe.ustjogja.ac.id/index.php/ekobis/article/view/3861" TargetMode="External"/><Relationship Id="rId426" Type="http://schemas.openxmlformats.org/officeDocument/2006/relationships/hyperlink" Target="https://plj.ac.id/ojs/index.php/jrakt/article/view/830/535" TargetMode="External"/><Relationship Id="rId668" Type="http://schemas.openxmlformats.org/officeDocument/2006/relationships/hyperlink" Target="https://repository.stiesurakarta.ac.id/submission/0900d84c-8aef-40aa-862b-01d491573ab1" TargetMode="External"/><Relationship Id="rId425" Type="http://schemas.openxmlformats.org/officeDocument/2006/relationships/hyperlink" Target="https://plj.ac.id/ojs/index.php/jrakt/article/view/830" TargetMode="External"/><Relationship Id="rId667" Type="http://schemas.openxmlformats.org/officeDocument/2006/relationships/hyperlink" Target="https://repository.stiesurakarta.ac.id/submission/d1cbcd37-d855-46d8-ab18-54f06cdc5b40" TargetMode="External"/><Relationship Id="rId424" Type="http://schemas.openxmlformats.org/officeDocument/2006/relationships/hyperlink" Target="https://drive.google.com/file/d/1xPkrdNZsHUS5g_X8zwIhMt0l4uqRkvFo/view?usp=sharing" TargetMode="External"/><Relationship Id="rId666" Type="http://schemas.openxmlformats.org/officeDocument/2006/relationships/hyperlink" Target="https://drive.google.com/file/d/136lWIOWzsZtqTNa2zwm2hbqsBrleG2eR/view?usp=drive_link" TargetMode="External"/><Relationship Id="rId423" Type="http://schemas.openxmlformats.org/officeDocument/2006/relationships/hyperlink" Target="https://stiepari.org/index.php/jvm/article/view/281" TargetMode="External"/><Relationship Id="rId665" Type="http://schemas.openxmlformats.org/officeDocument/2006/relationships/hyperlink" Target="https://kridacendekia.com/index.php/jkc/article/view/166" TargetMode="External"/><Relationship Id="rId429" Type="http://schemas.openxmlformats.org/officeDocument/2006/relationships/hyperlink" Target="https://www.usahid.ac.id/conference/index.php/snpk/article/view/138" TargetMode="External"/><Relationship Id="rId428" Type="http://schemas.openxmlformats.org/officeDocument/2006/relationships/hyperlink" Target="https://usahid.ac.id/conference/index.php/snpk/article/view/151" TargetMode="External"/><Relationship Id="rId427" Type="http://schemas.openxmlformats.org/officeDocument/2006/relationships/hyperlink" Target="https://bajangjournal.com/index.php/Juremi/article/view/5618" TargetMode="External"/><Relationship Id="rId669" Type="http://schemas.openxmlformats.org/officeDocument/2006/relationships/hyperlink" Target="http://ejurnal.setiabudi.ac.id/ojs/index.php/jbk/article/view/2468" TargetMode="External"/><Relationship Id="rId660" Type="http://schemas.openxmlformats.org/officeDocument/2006/relationships/hyperlink" Target="https://jurnal.stie-aas.ac.id/index.php/jie/article/view/12742" TargetMode="External"/><Relationship Id="rId422" Type="http://schemas.openxmlformats.org/officeDocument/2006/relationships/hyperlink" Target="https://prin.or.id/index.php/JURRIE/article/view/1376" TargetMode="External"/><Relationship Id="rId664" Type="http://schemas.openxmlformats.org/officeDocument/2006/relationships/hyperlink" Target="https://repository.stiesurakarta.ac.id/submission/16a10bb4-41fa-45ae-83ff-58143c0e664d" TargetMode="External"/><Relationship Id="rId421" Type="http://schemas.openxmlformats.org/officeDocument/2006/relationships/hyperlink" Target="https://journal.walisongo.ac.id/index.php/arbah/article/view/17998" TargetMode="External"/><Relationship Id="rId663" Type="http://schemas.openxmlformats.org/officeDocument/2006/relationships/hyperlink" Target="https://repository.stiesurakarta.ac.id/submission/ce1917e9-78d0-4f22-9aa3-04934f35bc29" TargetMode="External"/><Relationship Id="rId420" Type="http://schemas.openxmlformats.org/officeDocument/2006/relationships/hyperlink" Target="https://journal.walisongo.ac.id/index.php/arbah/article/view/17998" TargetMode="External"/><Relationship Id="rId662" Type="http://schemas.openxmlformats.org/officeDocument/2006/relationships/hyperlink" Target="https://ejurnal.kampusakademik.co.id/index.php/jrme/article/view/1161" TargetMode="External"/><Relationship Id="rId661" Type="http://schemas.openxmlformats.org/officeDocument/2006/relationships/hyperlink" Target="https://journal.formosapublisher.org/index.php/fjsr/article/view/8577" TargetMode="External"/><Relationship Id="rId415" Type="http://schemas.openxmlformats.org/officeDocument/2006/relationships/hyperlink" Target="https://journal.feb.unmul.ac.id/index.php/AKUNTABEL/article/view/11848" TargetMode="External"/><Relationship Id="rId657" Type="http://schemas.openxmlformats.org/officeDocument/2006/relationships/hyperlink" Target="https://jurnal.syntax-idea.co.id/index.php/syntax-idea/article/view/3019" TargetMode="External"/><Relationship Id="rId899" Type="http://schemas.openxmlformats.org/officeDocument/2006/relationships/hyperlink" Target="https://repository.stiesurakarta.ac.id/submission/a923bfe8-5a9f-4a45-b94c-f11a063cfc78" TargetMode="External"/><Relationship Id="rId414" Type="http://schemas.openxmlformats.org/officeDocument/2006/relationships/hyperlink" Target="https://prin.or.id/index.php/mri/article/view/1081" TargetMode="External"/><Relationship Id="rId656" Type="http://schemas.openxmlformats.org/officeDocument/2006/relationships/hyperlink" Target="https://repository.stiesurakarta.ac.id/submission/6569adaf-b912-4143-9840-8a079c405f0e" TargetMode="External"/><Relationship Id="rId898" Type="http://schemas.openxmlformats.org/officeDocument/2006/relationships/hyperlink" Target="https://repository.stiesurakarta.ac.id/submission/bc1aa735-5bde-47e7-a410-4c96b1bc9f08" TargetMode="External"/><Relationship Id="rId413" Type="http://schemas.openxmlformats.org/officeDocument/2006/relationships/hyperlink" Target="https://ejournal.uinsaid.ac.id/index.php/jfib/article/view/5495" TargetMode="External"/><Relationship Id="rId655" Type="http://schemas.openxmlformats.org/officeDocument/2006/relationships/hyperlink" Target="https://repository.stiesurakarta.ac.id/submission/0974cbd8-c81e-4987-98df-54820b031d89" TargetMode="External"/><Relationship Id="rId897" Type="http://schemas.openxmlformats.org/officeDocument/2006/relationships/hyperlink" Target="https://repository.stiesurakarta.ac.id/submission/f1053002-1db2-4904-a5ec-135953ec99a1" TargetMode="External"/><Relationship Id="rId412" Type="http://schemas.openxmlformats.org/officeDocument/2006/relationships/hyperlink" Target="https://e-jurnal.nobel.ac.id/index.php/jpm/article/view/3733" TargetMode="External"/><Relationship Id="rId654" Type="http://schemas.openxmlformats.org/officeDocument/2006/relationships/hyperlink" Target="https://jurnaluniv45sby.ac.id/index.php/Inisiatif/article/view/2268" TargetMode="External"/><Relationship Id="rId896" Type="http://schemas.openxmlformats.org/officeDocument/2006/relationships/hyperlink" Target="https://repository.stiesurakarta.ac.id/submission/35f87152-43c1-48c3-8b70-70ed65471184" TargetMode="External"/><Relationship Id="rId419" Type="http://schemas.openxmlformats.org/officeDocument/2006/relationships/hyperlink" Target="https://journal.undiknas.ac.id/index.php/REVENUE/article/view/4856" TargetMode="External"/><Relationship Id="rId418" Type="http://schemas.openxmlformats.org/officeDocument/2006/relationships/hyperlink" Target="https://journal.undiknas.ac.id/index.php/REVENUE/article/view/4855" TargetMode="External"/><Relationship Id="rId417" Type="http://schemas.openxmlformats.org/officeDocument/2006/relationships/hyperlink" Target="https://journal.undiknas.ac.id/index.php/REVENUE/article/view/4857" TargetMode="External"/><Relationship Id="rId659" Type="http://schemas.openxmlformats.org/officeDocument/2006/relationships/hyperlink" Target="https://seyboldreport.org/article_overview?id=MDMyMDI0MDkyNzQ2MjkxNDcw" TargetMode="External"/><Relationship Id="rId416" Type="http://schemas.openxmlformats.org/officeDocument/2006/relationships/hyperlink" Target="https://bajangjournal.com/index.php/Juremi/article/view/5590" TargetMode="External"/><Relationship Id="rId658" Type="http://schemas.openxmlformats.org/officeDocument/2006/relationships/hyperlink" Target="https://e-journal.naureendigition.com/index.php/pmb/article/view/1243" TargetMode="External"/><Relationship Id="rId891" Type="http://schemas.openxmlformats.org/officeDocument/2006/relationships/hyperlink" Target="https://repository.stiesurakarta.ac.id/submission/f67f8290-184a-48e4-97e5-de615f434b62" TargetMode="External"/><Relationship Id="rId890" Type="http://schemas.openxmlformats.org/officeDocument/2006/relationships/hyperlink" Target="https://repository.stiesurakarta.ac.id/submission/9dfc81ca-5be4-4110-9f07-1645aca4ca84" TargetMode="External"/><Relationship Id="rId411" Type="http://schemas.openxmlformats.org/officeDocument/2006/relationships/hyperlink" Target="https://ejournal.nusantaraglobal.ac.id/index.php/sentri/article/view/750" TargetMode="External"/><Relationship Id="rId653" Type="http://schemas.openxmlformats.org/officeDocument/2006/relationships/hyperlink" Target="https://jurnal.alimspublishing.co.id/index.php/JISE/article/view/654" TargetMode="External"/><Relationship Id="rId895" Type="http://schemas.openxmlformats.org/officeDocument/2006/relationships/hyperlink" Target="https://repository.stiesurakarta.ac.id/submission/d241203f-8b57-4904-88ff-440adbbfc233" TargetMode="External"/><Relationship Id="rId410" Type="http://schemas.openxmlformats.org/officeDocument/2006/relationships/hyperlink" Target="https://ejournal.nusantaraglobal.ac.id/index.php/sentri/article/view/750" TargetMode="External"/><Relationship Id="rId652" Type="http://schemas.openxmlformats.org/officeDocument/2006/relationships/hyperlink" Target="https://repository.stiesurakarta.ac.id/submission/572b02b2-a9bd-4295-a353-ef284f0d1f22" TargetMode="External"/><Relationship Id="rId894" Type="http://schemas.openxmlformats.org/officeDocument/2006/relationships/hyperlink" Target="https://repository.stiesurakarta.ac.id/submission/f82b9ff3-db95-4922-9a2f-555cbc06020b" TargetMode="External"/><Relationship Id="rId651" Type="http://schemas.openxmlformats.org/officeDocument/2006/relationships/hyperlink" Target="https://repository.stiesurakarta.ac.id/submission/f052aa46-858c-47fa-bc8b-dcfdfc6db732" TargetMode="External"/><Relationship Id="rId893" Type="http://schemas.openxmlformats.org/officeDocument/2006/relationships/hyperlink" Target="https://repository.stiesurakarta.ac.id/submission/5f456a05-bf6e-4372-9c2b-c567ee757045" TargetMode="External"/><Relationship Id="rId650" Type="http://schemas.openxmlformats.org/officeDocument/2006/relationships/hyperlink" Target="https://repository.penerbiteureka.com/publications/568089/perilaku-konsumen-konsep-dan-implementasi" TargetMode="External"/><Relationship Id="rId892" Type="http://schemas.openxmlformats.org/officeDocument/2006/relationships/hyperlink" Target="https://repository.stiesurakarta.ac.id/submission/45ca3a96-af93-4a15-bc9c-7bf1fe68b8c1" TargetMode="External"/><Relationship Id="rId206" Type="http://schemas.openxmlformats.org/officeDocument/2006/relationships/hyperlink" Target="https://journal.widyamanggala.ac.id/index.php/jurnalaset/article/view/195" TargetMode="External"/><Relationship Id="rId448" Type="http://schemas.openxmlformats.org/officeDocument/2006/relationships/hyperlink" Target="https://ejournal.nusantaraglobal.ac.id/index.php/sentri/article/view/1057" TargetMode="External"/><Relationship Id="rId205" Type="http://schemas.openxmlformats.org/officeDocument/2006/relationships/hyperlink" Target="https://journal.widyamanggala.ac.id/index.php/jurnalaset/article/view/201" TargetMode="External"/><Relationship Id="rId447" Type="http://schemas.openxmlformats.org/officeDocument/2006/relationships/hyperlink" Target="http://openjournal.unpam.ac.id/index.php/JISM/article/view/30737" TargetMode="External"/><Relationship Id="rId689" Type="http://schemas.openxmlformats.org/officeDocument/2006/relationships/hyperlink" Target="https://jurnal.stiesurakarta.ac.id/index.php/jebdeker/article/view/329" TargetMode="External"/><Relationship Id="rId204" Type="http://schemas.openxmlformats.org/officeDocument/2006/relationships/hyperlink" Target="https://www.neliti.com/id/publications/432726/analysis-of-external-factors-that-affect-non-performing-loans-to-bank-customers" TargetMode="External"/><Relationship Id="rId446" Type="http://schemas.openxmlformats.org/officeDocument/2006/relationships/hyperlink" Target="https://jurnal.itbsemarang.ac.id/index.php/JREA/article/view/262" TargetMode="External"/><Relationship Id="rId688" Type="http://schemas.openxmlformats.org/officeDocument/2006/relationships/hyperlink" Target="https://jurnal.stiesurakarta.ac.id/index.php/jebdeker/article/view/279" TargetMode="External"/><Relationship Id="rId203" Type="http://schemas.openxmlformats.org/officeDocument/2006/relationships/hyperlink" Target="https://www.neliti.com/id/publications/432663/study-of-the-influence-of-credit-giving-at-pt-bpr-cita-dewi-karanganyar" TargetMode="External"/><Relationship Id="rId445" Type="http://schemas.openxmlformats.org/officeDocument/2006/relationships/hyperlink" Target="https://drive.google.com/file/d/1u7d8NrA5M8_pL0uw9jHQw2xX0KrvvFWl/view?usp=sharing" TargetMode="External"/><Relationship Id="rId687" Type="http://schemas.openxmlformats.org/officeDocument/2006/relationships/hyperlink" Target="https://jurnalpengabdian.stiesurakarta.ac.id/index.php/Dms/article/view/94" TargetMode="External"/><Relationship Id="rId209" Type="http://schemas.openxmlformats.org/officeDocument/2006/relationships/hyperlink" Target="https://www.researchgate.net/publication/366652601_Pengaruh_biaya_operasional_perputaran_persediaan_dan_good_corporate_governance_terhadap_profitabilitas_perusahaan_BUMN_di_Indonesia" TargetMode="External"/><Relationship Id="rId208" Type="http://schemas.openxmlformats.org/officeDocument/2006/relationships/hyperlink" Target="https://journal.unj.ac.id/unj/index.php/jrmsi/article/view/22130" TargetMode="External"/><Relationship Id="rId207" Type="http://schemas.openxmlformats.org/officeDocument/2006/relationships/hyperlink" Target="https://journal.widyamanggala.ac.id/index.php/jurnalaset/article/view/201" TargetMode="External"/><Relationship Id="rId449" Type="http://schemas.openxmlformats.org/officeDocument/2006/relationships/hyperlink" Target="https://ejournal.nusantaraglobal.ac.id/index.php/sentri/article/view/1056" TargetMode="External"/><Relationship Id="rId440" Type="http://schemas.openxmlformats.org/officeDocument/2006/relationships/hyperlink" Target="https://jurnaluniv45sby.ac.id/index.php/Inisiatif/article/view/1110/948" TargetMode="External"/><Relationship Id="rId682" Type="http://schemas.openxmlformats.org/officeDocument/2006/relationships/hyperlink" Target="https://jurnal.unived.ac.id/index.php/jambd/article/view/5662" TargetMode="External"/><Relationship Id="rId681" Type="http://schemas.openxmlformats.org/officeDocument/2006/relationships/hyperlink" Target="https://thejbis.upy.ac.id/index.php/jbis/article/view/228" TargetMode="External"/><Relationship Id="rId680" Type="http://schemas.openxmlformats.org/officeDocument/2006/relationships/hyperlink" Target="https://drive.google.com/file/d/1fXRSQOUnOSLeWD8n-q33lhZrPW9hHTP3/view?usp=drive_link" TargetMode="External"/><Relationship Id="rId202" Type="http://schemas.openxmlformats.org/officeDocument/2006/relationships/hyperlink" Target="https://bajangjournal.com/index.php/JEMBA/article/view/1841" TargetMode="External"/><Relationship Id="rId444" Type="http://schemas.openxmlformats.org/officeDocument/2006/relationships/hyperlink" Target="https://jurnal.aksaraglobal.co.id/index.php/jmsc/article/view/155" TargetMode="External"/><Relationship Id="rId686" Type="http://schemas.openxmlformats.org/officeDocument/2006/relationships/hyperlink" Target="https://jurnalpengabdian.stiesurakarta.ac.id/index.php/Dms/article/view/90" TargetMode="External"/><Relationship Id="rId201" Type="http://schemas.openxmlformats.org/officeDocument/2006/relationships/hyperlink" Target="https://bajangjournal.com/index.php/JEMBA/article/view/1832" TargetMode="External"/><Relationship Id="rId443" Type="http://schemas.openxmlformats.org/officeDocument/2006/relationships/hyperlink" Target="https://ejurnal.politeknikpratama.ac.id/index.php/jurima/article/view/2171" TargetMode="External"/><Relationship Id="rId685" Type="http://schemas.openxmlformats.org/officeDocument/2006/relationships/hyperlink" Target="https://jurnalpengabdian.stiesurakarta.ac.id/index.php/Dms/article/view/87" TargetMode="External"/><Relationship Id="rId200" Type="http://schemas.openxmlformats.org/officeDocument/2006/relationships/hyperlink" Target="https://journal.unesa.ac.id/index.php/jim/article/view/16339" TargetMode="External"/><Relationship Id="rId442" Type="http://schemas.openxmlformats.org/officeDocument/2006/relationships/hyperlink" Target="https://ejurnal.politeknikpratama.ac.id/index.php/jurima/article/view/2149/2139" TargetMode="External"/><Relationship Id="rId684" Type="http://schemas.openxmlformats.org/officeDocument/2006/relationships/hyperlink" Target="https://jurnalpengabdian.stiesurakarta.ac.id/index.php/Dms/article/view/86" TargetMode="External"/><Relationship Id="rId441" Type="http://schemas.openxmlformats.org/officeDocument/2006/relationships/hyperlink" Target="https://jurnaluniv45sby.ac.id/index.php/Inisiatif/article/view/1123" TargetMode="External"/><Relationship Id="rId683" Type="http://schemas.openxmlformats.org/officeDocument/2006/relationships/hyperlink" Target="https://jurnalpengabdian.stiesurakarta.ac.id/index.php/Dms/article/view/85" TargetMode="External"/><Relationship Id="rId437" Type="http://schemas.openxmlformats.org/officeDocument/2006/relationships/hyperlink" Target="https://bajangjournal.com/index.php/JEMBA/article/view/5684" TargetMode="External"/><Relationship Id="rId679" Type="http://schemas.openxmlformats.org/officeDocument/2006/relationships/hyperlink" Target="https://ejournal.warunayama.org/index.php/musytarineraca/article/view/3938" TargetMode="External"/><Relationship Id="rId436" Type="http://schemas.openxmlformats.org/officeDocument/2006/relationships/hyperlink" Target="https://jrie.feb.unpas.ac.id/index.php/jrie/article/view/45" TargetMode="External"/><Relationship Id="rId678" Type="http://schemas.openxmlformats.org/officeDocument/2006/relationships/hyperlink" Target="https://ejurnal.kampusakademik.my.id/index.php/jemba/article/view/197" TargetMode="External"/><Relationship Id="rId435" Type="http://schemas.openxmlformats.org/officeDocument/2006/relationships/hyperlink" Target="https://e-journal.naureendigition.com/index.php/pmb/article/view/375" TargetMode="External"/><Relationship Id="rId677" Type="http://schemas.openxmlformats.org/officeDocument/2006/relationships/hyperlink" Target="https://ejurnal.kampusakademik.co.id/index.php/jiem/article/view/1703" TargetMode="External"/><Relationship Id="rId434" Type="http://schemas.openxmlformats.org/officeDocument/2006/relationships/hyperlink" Target="https://usahid.ac.id/conference/index.php/snpk/article/view/152" TargetMode="External"/><Relationship Id="rId676" Type="http://schemas.openxmlformats.org/officeDocument/2006/relationships/hyperlink" Target="https://www.bajangjournal.com/index.php/JIRK/article/view/7835/6115" TargetMode="External"/><Relationship Id="rId439" Type="http://schemas.openxmlformats.org/officeDocument/2006/relationships/hyperlink" Target="https://ekalaya.nindikayla.com/index.php/home/article/view/69" TargetMode="External"/><Relationship Id="rId438" Type="http://schemas.openxmlformats.org/officeDocument/2006/relationships/hyperlink" Target="https://ejournal.lppm-stieatmabhakti.id/index.php/JANAKA/article/view/315" TargetMode="External"/><Relationship Id="rId671" Type="http://schemas.openxmlformats.org/officeDocument/2006/relationships/hyperlink" Target="https://ejurnal.kampusakademik.co.id/index.php/jrme/article/view/1227/version/1227" TargetMode="External"/><Relationship Id="rId670" Type="http://schemas.openxmlformats.org/officeDocument/2006/relationships/hyperlink" Target="https://journal.unimar-amni.ac.id/index.php/profit/article/view/2068" TargetMode="External"/><Relationship Id="rId433" Type="http://schemas.openxmlformats.org/officeDocument/2006/relationships/hyperlink" Target="https://www.usahid.ac.id/conference/index.php/snpk/article/view/165" TargetMode="External"/><Relationship Id="rId675" Type="http://schemas.openxmlformats.org/officeDocument/2006/relationships/hyperlink" Target="https://jurnaluniv45sby.ac.id/index.php/Inisiatif/article/view/2544" TargetMode="External"/><Relationship Id="rId432" Type="http://schemas.openxmlformats.org/officeDocument/2006/relationships/hyperlink" Target="https://www.usahid.ac.id/conference/index.php/snpk/article/view/143" TargetMode="External"/><Relationship Id="rId674" Type="http://schemas.openxmlformats.org/officeDocument/2006/relationships/hyperlink" Target="https://jurnal.ampta.ac.id/index.php/MWS/article/view/421" TargetMode="External"/><Relationship Id="rId431" Type="http://schemas.openxmlformats.org/officeDocument/2006/relationships/hyperlink" Target="https://www.usahid.ac.id/conference/index.php/snpk/article/view/137" TargetMode="External"/><Relationship Id="rId673" Type="http://schemas.openxmlformats.org/officeDocument/2006/relationships/hyperlink" Target="https://jurnal.stie-aas.ac.id/index.php/jie/article/view/12306" TargetMode="External"/><Relationship Id="rId430" Type="http://schemas.openxmlformats.org/officeDocument/2006/relationships/hyperlink" Target="https://www.usahid.ac.id/conference/index.php/snpk/article/view/140" TargetMode="External"/><Relationship Id="rId672" Type="http://schemas.openxmlformats.org/officeDocument/2006/relationships/hyperlink" Target="https://ejurnal.kampusakademik.co.id/index.php/jrme/article/view/1248"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it.ly/SitasiSTIESurakarta"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75"/>
  <cols>
    <col customWidth="1" min="1" max="1" width="4.75"/>
    <col customWidth="1" min="2" max="2" width="33.75"/>
    <col customWidth="1" min="3" max="3" width="8.88"/>
    <col customWidth="1" hidden="1" min="4" max="4" width="19.5"/>
    <col customWidth="1" min="5" max="5" width="15.63"/>
    <col customWidth="1" hidden="1" min="6" max="6" width="10.75"/>
    <col customWidth="1" min="7" max="7" width="13.63"/>
    <col customWidth="1" hidden="1" min="8" max="8" width="14.63"/>
    <col customWidth="1" min="9" max="15" width="18.63"/>
    <col customWidth="1" hidden="1" min="16" max="16" width="39.0"/>
    <col customWidth="1" min="17" max="17" width="53.13"/>
    <col customWidth="1" min="18" max="18" width="35.0"/>
  </cols>
  <sheetData>
    <row r="1">
      <c r="A1" s="1" t="str">
        <f>IFERROR(__xludf.DUMMYFUNCTION("IMPORTRANGE(""https://docs.google.com/spreadsheets/d/1WFBd7rKPKd3Ke5VBCTVjDj10NK_23FMkzKL55b1F780/edit?gid=669657237#gid=669657237"",""Database P3M Dosen + Mhs!A1:R"")"),"No")</f>
        <v>No</v>
      </c>
      <c r="B1" s="2" t="str">
        <f>IFERROR(__xludf.DUMMYFUNCTION("""COMPUTED_VALUE"""),"Judul")</f>
        <v>Judul</v>
      </c>
      <c r="C1" s="3" t="str">
        <f>IFERROR(__xludf.DUMMYFUNCTION("""COMPUTED_VALUE"""),"Tahun")</f>
        <v>Tahun</v>
      </c>
      <c r="D1" s="1" t="str">
        <f>IFERROR(__xludf.DUMMYFUNCTION("""COMPUTED_VALUE"""),"Tahun Akademik")</f>
        <v>Tahun Akademik</v>
      </c>
      <c r="E1" s="4" t="str">
        <f>IFERROR(__xludf.DUMMYFUNCTION("""COMPUTED_VALUE"""),"Tanggal Publikasi")</f>
        <v>Tanggal Publikasi</v>
      </c>
      <c r="F1" s="1" t="str">
        <f>IFERROR(__xludf.DUMMYFUNCTION("""COMPUTED_VALUE"""),"Ganjil/Genap")</f>
        <v>Ganjil/Genap</v>
      </c>
      <c r="G1" s="1" t="str">
        <f>IFERROR(__xludf.DUMMYFUNCTION("""COMPUTED_VALUE"""),"Prodi")</f>
        <v>Prodi</v>
      </c>
      <c r="H1" s="1" t="str">
        <f>IFERROR(__xludf.DUMMYFUNCTION("""COMPUTED_VALUE"""),"Dosen/Mahasiswa")</f>
        <v>Dosen/Mahasiswa</v>
      </c>
      <c r="I1" s="2" t="str">
        <f>IFERROR(__xludf.DUMMYFUNCTION("""COMPUTED_VALUE"""),"Penulis 1")</f>
        <v>Penulis 1</v>
      </c>
      <c r="J1" s="2" t="str">
        <f>IFERROR(__xludf.DUMMYFUNCTION("""COMPUTED_VALUE"""),"Penulis 2")</f>
        <v>Penulis 2</v>
      </c>
      <c r="K1" s="2" t="str">
        <f>IFERROR(__xludf.DUMMYFUNCTION("""COMPUTED_VALUE"""),"Penulis 3")</f>
        <v>Penulis 3</v>
      </c>
      <c r="L1" s="2" t="str">
        <f>IFERROR(__xludf.DUMMYFUNCTION("""COMPUTED_VALUE"""),"Penulis 4")</f>
        <v>Penulis 4</v>
      </c>
      <c r="M1" s="2" t="str">
        <f>IFERROR(__xludf.DUMMYFUNCTION("""COMPUTED_VALUE"""),"Penulis 5")</f>
        <v>Penulis 5</v>
      </c>
      <c r="N1" s="2" t="str">
        <f>IFERROR(__xludf.DUMMYFUNCTION("""COMPUTED_VALUE"""),"Penulis 6")</f>
        <v>Penulis 6</v>
      </c>
      <c r="O1" s="2" t="str">
        <f>IFERROR(__xludf.DUMMYFUNCTION("""COMPUTED_VALUE"""),"Penulis 7")</f>
        <v>Penulis 7</v>
      </c>
      <c r="P1" s="1" t="str">
        <f>IFERROR(__xludf.DUMMYFUNCTION("""COMPUTED_VALUE"""),"Penulis Artikel
(Sitasi)")</f>
        <v>Penulis Artikel
(Sitasi)</v>
      </c>
      <c r="Q1" s="2" t="str">
        <f>IFERROR(__xludf.DUMMYFUNCTION("""COMPUTED_VALUE"""),"Link")</f>
        <v>Link</v>
      </c>
      <c r="R1" s="2" t="str">
        <f>IFERROR(__xludf.DUMMYFUNCTION("""COMPUTED_VALUE"""),"Link Tambahan")</f>
        <v>Link Tambahan</v>
      </c>
    </row>
    <row r="2">
      <c r="A2" s="5">
        <f>IFERROR(__xludf.DUMMYFUNCTION("""COMPUTED_VALUE"""),1.0)</f>
        <v>1</v>
      </c>
      <c r="B2" s="6" t="str">
        <f>IFERROR(__xludf.DUMMYFUNCTION("""COMPUTED_VALUE"""),"THE EFFECT OF INCOME, SOCIALIZATION, TAXPAYER AWARENESS, AND TAX SANCTION ON THE COMPLIANCE OF LAND AND BUILDING TAX PAYMENT AT DUKUH PENGKOL")</f>
        <v>THE EFFECT OF INCOME, SOCIALIZATION, TAXPAYER AWARENESS, AND TAX SANCTION ON THE COMPLIANCE OF LAND AND BUILDING TAX PAYMENT AT DUKUH PENGKOL</v>
      </c>
      <c r="C2" s="7">
        <f>IFERROR(__xludf.DUMMYFUNCTION("""COMPUTED_VALUE"""),2021.0)</f>
        <v>2021</v>
      </c>
      <c r="D2" s="8" t="str">
        <f>IFERROR(__xludf.DUMMYFUNCTION("""COMPUTED_VALUE"""),"2021/2022")</f>
        <v>2021/2022</v>
      </c>
      <c r="E2" s="9">
        <f>IFERROR(__xludf.DUMMYFUNCTION("""COMPUTED_VALUE"""),44445.0)</f>
        <v>44445</v>
      </c>
      <c r="F2" s="5" t="str">
        <f>IFERROR(__xludf.DUMMYFUNCTION("""COMPUTED_VALUE"""),"Ganjil")</f>
        <v>Ganjil</v>
      </c>
      <c r="G2" s="5" t="str">
        <f>IFERROR(__xludf.DUMMYFUNCTION("""COMPUTED_VALUE"""),"Akuntansi")</f>
        <v>Akuntansi</v>
      </c>
      <c r="H2" s="10" t="str">
        <f>IFERROR(__xludf.DUMMYFUNCTION("""COMPUTED_VALUE"""),"Mahasiswa")</f>
        <v>Mahasiswa</v>
      </c>
      <c r="I2" s="6" t="str">
        <f>IFERROR(__xludf.DUMMYFUNCTION("""COMPUTED_VALUE"""),"Oceania Andika Putri")</f>
        <v>Oceania Andika Putri</v>
      </c>
      <c r="J2" s="6" t="str">
        <f>IFERROR(__xludf.DUMMYFUNCTION("""COMPUTED_VALUE"""),"Ismunawan")</f>
        <v>Ismunawan</v>
      </c>
      <c r="K2" s="6"/>
      <c r="L2" s="6"/>
      <c r="M2" s="6"/>
      <c r="N2" s="6"/>
      <c r="O2" s="6"/>
      <c r="P2" s="10" t="str">
        <f>IFERROR(__xludf.DUMMYFUNCTION("""COMPUTED_VALUE"""),"Oceania Andika Putri,Ismunawan,,")</f>
        <v>Oceania Andika Putri,Ismunawan,,</v>
      </c>
      <c r="Q2" s="11" t="str">
        <f>IFERROR(__xludf.DUMMYFUNCTION("""COMPUTED_VALUE"""),"https://e-journal.unair.ac.id/BAKI/article/view/25521")</f>
        <v>https://e-journal.unair.ac.id/BAKI/article/view/25521</v>
      </c>
      <c r="R2" s="6"/>
    </row>
    <row r="3">
      <c r="A3" s="5">
        <f>IFERROR(__xludf.DUMMYFUNCTION("""COMPUTED_VALUE"""),2.0)</f>
        <v>2</v>
      </c>
      <c r="B3" s="6" t="str">
        <f>IFERROR(__xludf.DUMMYFUNCTION("""COMPUTED_VALUE"""),"â€œI Want to be an Entrepreneurâ€�: The Important Role of Effectiveness of Entrepreneurship Education and Internal Locus of Control")</f>
        <v>â€œI Want to be an Entrepreneurâ€�: The Important Role of Effectiveness of Entrepreneurship Education and Internal Locus of Control</v>
      </c>
      <c r="C3" s="7">
        <f>IFERROR(__xludf.DUMMYFUNCTION("""COMPUTED_VALUE"""),2021.0)</f>
        <v>2021</v>
      </c>
      <c r="D3" s="8" t="str">
        <f>IFERROR(__xludf.DUMMYFUNCTION("""COMPUTED_VALUE"""),"2021/2022")</f>
        <v>2021/2022</v>
      </c>
      <c r="E3" s="9">
        <f>IFERROR(__xludf.DUMMYFUNCTION("""COMPUTED_VALUE"""),44523.0)</f>
        <v>44523</v>
      </c>
      <c r="F3" s="5" t="str">
        <f>IFERROR(__xludf.DUMMYFUNCTION("""COMPUTED_VALUE"""),"Ganjil")</f>
        <v>Ganjil</v>
      </c>
      <c r="G3" s="5" t="str">
        <f>IFERROR(__xludf.DUMMYFUNCTION("""COMPUTED_VALUE"""),"Manajemen")</f>
        <v>Manajemen</v>
      </c>
      <c r="H3" s="10" t="str">
        <f>IFERROR(__xludf.DUMMYFUNCTION("""COMPUTED_VALUE"""),"Dosen")</f>
        <v>Dosen</v>
      </c>
      <c r="I3" s="6" t="str">
        <f>IFERROR(__xludf.DUMMYFUNCTION("""COMPUTED_VALUE"""),"Elia Ardyan")</f>
        <v>Elia Ardyan</v>
      </c>
      <c r="J3" s="6" t="str">
        <f>IFERROR(__xludf.DUMMYFUNCTION("""COMPUTED_VALUE"""),"Ari Susanti")</f>
        <v>Ari Susanti</v>
      </c>
      <c r="K3" s="6"/>
      <c r="L3" s="6"/>
      <c r="M3" s="6"/>
      <c r="N3" s="6"/>
      <c r="O3" s="6"/>
      <c r="P3" s="10" t="str">
        <f>IFERROR(__xludf.DUMMYFUNCTION("""COMPUTED_VALUE"""),"Elia Ardyan,Ari Susanti,,")</f>
        <v>Elia Ardyan,Ari Susanti,,</v>
      </c>
      <c r="Q3" s="11" t="str">
        <f>IFERROR(__xludf.DUMMYFUNCTION("""COMPUTED_VALUE"""),"https://journal.uc.ac.id/index.php/JEE/article/view/1867")</f>
        <v>https://journal.uc.ac.id/index.php/JEE/article/view/1867</v>
      </c>
      <c r="R3" s="6"/>
    </row>
    <row r="4">
      <c r="A4" s="5">
        <f>IFERROR(__xludf.DUMMYFUNCTION("""COMPUTED_VALUE"""),3.0)</f>
        <v>3</v>
      </c>
      <c r="B4" s="6" t="str">
        <f>IFERROR(__xludf.DUMMYFUNCTION("""COMPUTED_VALUE"""),"Faktor-Faktor Yang Berdampak Pada Pendapatan Umkm Di Sukoharjo")</f>
        <v>Faktor-Faktor Yang Berdampak Pada Pendapatan Umkm Di Sukoharjo</v>
      </c>
      <c r="C4" s="7">
        <f>IFERROR(__xludf.DUMMYFUNCTION("""COMPUTED_VALUE"""),2021.0)</f>
        <v>2021</v>
      </c>
      <c r="D4" s="8" t="str">
        <f>IFERROR(__xludf.DUMMYFUNCTION("""COMPUTED_VALUE"""),"2021/2022")</f>
        <v>2021/2022</v>
      </c>
      <c r="E4" s="9">
        <f>IFERROR(__xludf.DUMMYFUNCTION("""COMPUTED_VALUE"""),44550.0)</f>
        <v>44550</v>
      </c>
      <c r="F4" s="5" t="str">
        <f>IFERROR(__xludf.DUMMYFUNCTION("""COMPUTED_VALUE"""),"Ganjil")</f>
        <v>Ganjil</v>
      </c>
      <c r="G4" s="5" t="str">
        <f>IFERROR(__xludf.DUMMYFUNCTION("""COMPUTED_VALUE"""),"Akuntansi")</f>
        <v>Akuntansi</v>
      </c>
      <c r="H4" s="10" t="str">
        <f>IFERROR(__xludf.DUMMYFUNCTION("""COMPUTED_VALUE"""),"Mahasiswa")</f>
        <v>Mahasiswa</v>
      </c>
      <c r="I4" s="6" t="str">
        <f>IFERROR(__xludf.DUMMYFUNCTION("""COMPUTED_VALUE"""),"Lavena Dona Ekasari Dona")</f>
        <v>Lavena Dona Ekasari Dona</v>
      </c>
      <c r="J4" s="6" t="str">
        <f>IFERROR(__xludf.DUMMYFUNCTION("""COMPUTED_VALUE"""),"Pardi")</f>
        <v>Pardi</v>
      </c>
      <c r="K4" s="6"/>
      <c r="L4" s="6"/>
      <c r="M4" s="6"/>
      <c r="N4" s="6"/>
      <c r="O4" s="6"/>
      <c r="P4" s="10" t="str">
        <f>IFERROR(__xludf.DUMMYFUNCTION("""COMPUTED_VALUE"""),"Lavena Dona Ekasari Dona,Pardi,,")</f>
        <v>Lavena Dona Ekasari Dona,Pardi,,</v>
      </c>
      <c r="Q4" s="11" t="str">
        <f>IFERROR(__xludf.DUMMYFUNCTION("""COMPUTED_VALUE"""),"https://jurnal.stiesurakarta.ac.id/index.php/jebdeker/article/view/79")</f>
        <v>https://jurnal.stiesurakarta.ac.id/index.php/jebdeker/article/view/79</v>
      </c>
      <c r="R4" s="6"/>
    </row>
    <row r="5">
      <c r="A5" s="5">
        <f>IFERROR(__xludf.DUMMYFUNCTION("""COMPUTED_VALUE"""),4.0)</f>
        <v>4</v>
      </c>
      <c r="B5" s="6" t="str">
        <f>IFERROR(__xludf.DUMMYFUNCTION("""COMPUTED_VALUE"""),"Behavior analysis of milenial investor on interest in investing sharia capital market indonesia stock exchange")</f>
        <v>Behavior analysis of milenial investor on interest in investing sharia capital market indonesia stock exchange</v>
      </c>
      <c r="C5" s="7">
        <f>IFERROR(__xludf.DUMMYFUNCTION("""COMPUTED_VALUE"""),2021.0)</f>
        <v>2021</v>
      </c>
      <c r="D5" s="8" t="str">
        <f>IFERROR(__xludf.DUMMYFUNCTION("""COMPUTED_VALUE"""),"2021/2022")</f>
        <v>2021/2022</v>
      </c>
      <c r="E5" s="9">
        <f>IFERROR(__xludf.DUMMYFUNCTION("""COMPUTED_VALUE"""),44551.0)</f>
        <v>44551</v>
      </c>
      <c r="F5" s="5" t="str">
        <f>IFERROR(__xludf.DUMMYFUNCTION("""COMPUTED_VALUE"""),"Ganjil")</f>
        <v>Ganjil</v>
      </c>
      <c r="G5" s="5" t="str">
        <f>IFERROR(__xludf.DUMMYFUNCTION("""COMPUTED_VALUE"""),"Manajemen")</f>
        <v>Manajemen</v>
      </c>
      <c r="H5" s="10" t="str">
        <f>IFERROR(__xludf.DUMMYFUNCTION("""COMPUTED_VALUE"""),"Dosen")</f>
        <v>Dosen</v>
      </c>
      <c r="I5" s="6" t="str">
        <f>IFERROR(__xludf.DUMMYFUNCTION("""COMPUTED_VALUE"""),"Heny Kurnianingsih")</f>
        <v>Heny Kurnianingsih</v>
      </c>
      <c r="J5" s="6"/>
      <c r="K5" s="6"/>
      <c r="L5" s="6"/>
      <c r="M5" s="6"/>
      <c r="N5" s="6"/>
      <c r="O5" s="6"/>
      <c r="P5" s="10" t="str">
        <f>IFERROR(__xludf.DUMMYFUNCTION("""COMPUTED_VALUE"""),"Heny Kurnianingsih,,,")</f>
        <v>Heny Kurnianingsih,,,</v>
      </c>
      <c r="Q5" s="6"/>
      <c r="R5" s="6"/>
    </row>
    <row r="6">
      <c r="A6" s="5">
        <f>IFERROR(__xludf.DUMMYFUNCTION("""COMPUTED_VALUE"""),5.0)</f>
        <v>5</v>
      </c>
      <c r="B6" s="6" t="str">
        <f>IFERROR(__xludf.DUMMYFUNCTION("""COMPUTED_VALUE"""),"PEMBERDAYAAN UMKM KOPIPA.id MELALUI LIMBAH KOPI MENJADI TEH KEMASAN di SURAKARTA")</f>
        <v>PEMBERDAYAAN UMKM KOPIPA.id MELALUI LIMBAH KOPI MENJADI TEH KEMASAN di SURAKARTA</v>
      </c>
      <c r="C6" s="7">
        <f>IFERROR(__xludf.DUMMYFUNCTION("""COMPUTED_VALUE"""),2021.0)</f>
        <v>2021</v>
      </c>
      <c r="D6" s="8" t="str">
        <f>IFERROR(__xludf.DUMMYFUNCTION("""COMPUTED_VALUE"""),"2021/2022")</f>
        <v>2021/2022</v>
      </c>
      <c r="E6" s="9">
        <f>IFERROR(__xludf.DUMMYFUNCTION("""COMPUTED_VALUE"""),44555.0)</f>
        <v>44555</v>
      </c>
      <c r="F6" s="5" t="str">
        <f>IFERROR(__xludf.DUMMYFUNCTION("""COMPUTED_VALUE"""),"Ganjil")</f>
        <v>Ganjil</v>
      </c>
      <c r="G6" s="5" t="str">
        <f>IFERROR(__xludf.DUMMYFUNCTION("""COMPUTED_VALUE"""),"Manajemen")</f>
        <v>Manajemen</v>
      </c>
      <c r="H6" s="10" t="str">
        <f>IFERROR(__xludf.DUMMYFUNCTION("""COMPUTED_VALUE"""),"Dosen")</f>
        <v>Dosen</v>
      </c>
      <c r="I6" s="6" t="str">
        <f>IFERROR(__xludf.DUMMYFUNCTION("""COMPUTED_VALUE"""),"Ari Susanti")</f>
        <v>Ari Susanti</v>
      </c>
      <c r="J6" s="6" t="str">
        <f>IFERROR(__xludf.DUMMYFUNCTION("""COMPUTED_VALUE"""),"Aditya Liliyan")</f>
        <v>Aditya Liliyan</v>
      </c>
      <c r="K6" s="6"/>
      <c r="L6" s="6"/>
      <c r="M6" s="6"/>
      <c r="N6" s="6"/>
      <c r="O6" s="6"/>
      <c r="P6" s="10" t="str">
        <f>IFERROR(__xludf.DUMMYFUNCTION("""COMPUTED_VALUE"""),"Ari Susanti,Aditya Liliyan,,")</f>
        <v>Ari Susanti,Aditya Liliyan,,</v>
      </c>
      <c r="Q6" s="11" t="str">
        <f>IFERROR(__xludf.DUMMYFUNCTION("""COMPUTED_VALUE"""),"https://jurnal.pknstan.ac.id/index.php/sembadha/article/view/1473")</f>
        <v>https://jurnal.pknstan.ac.id/index.php/sembadha/article/view/1473</v>
      </c>
      <c r="R6" s="6"/>
    </row>
    <row r="7">
      <c r="A7" s="5">
        <f>IFERROR(__xludf.DUMMYFUNCTION("""COMPUTED_VALUE"""),6.0)</f>
        <v>6</v>
      </c>
      <c r="B7" s="6" t="str">
        <f>IFERROR(__xludf.DUMMYFUNCTION("""COMPUTED_VALUE"""),"Literasi Keuangan, Gaya Hidup, Locus of Control dan Parental Income terhadap perilaku keuangan mahasiswa")</f>
        <v>Literasi Keuangan, Gaya Hidup, Locus of Control dan Parental Income terhadap perilaku keuangan mahasiswa</v>
      </c>
      <c r="C7" s="7">
        <f>IFERROR(__xludf.DUMMYFUNCTION("""COMPUTED_VALUE"""),2021.0)</f>
        <v>2021</v>
      </c>
      <c r="D7" s="8" t="str">
        <f>IFERROR(__xludf.DUMMYFUNCTION("""COMPUTED_VALUE"""),"2021/2022")</f>
        <v>2021/2022</v>
      </c>
      <c r="E7" s="9">
        <f>IFERROR(__xludf.DUMMYFUNCTION("""COMPUTED_VALUE"""),44558.0)</f>
        <v>44558</v>
      </c>
      <c r="F7" s="5" t="str">
        <f>IFERROR(__xludf.DUMMYFUNCTION("""COMPUTED_VALUE"""),"Ganjil")</f>
        <v>Ganjil</v>
      </c>
      <c r="G7" s="5" t="str">
        <f>IFERROR(__xludf.DUMMYFUNCTION("""COMPUTED_VALUE"""),"Manajemen")</f>
        <v>Manajemen</v>
      </c>
      <c r="H7" s="10" t="str">
        <f>IFERROR(__xludf.DUMMYFUNCTION("""COMPUTED_VALUE"""),"Mahasiswa")</f>
        <v>Mahasiswa</v>
      </c>
      <c r="I7" s="6" t="str">
        <f>IFERROR(__xludf.DUMMYFUNCTION("""COMPUTED_VALUE"""),"Nuraeni Ritakumalasari")</f>
        <v>Nuraeni Ritakumalasari</v>
      </c>
      <c r="J7" s="6" t="str">
        <f>IFERROR(__xludf.DUMMYFUNCTION("""COMPUTED_VALUE"""),"Ari Susanti")</f>
        <v>Ari Susanti</v>
      </c>
      <c r="K7" s="6"/>
      <c r="L7" s="6"/>
      <c r="M7" s="6"/>
      <c r="N7" s="6"/>
      <c r="O7" s="6"/>
      <c r="P7" s="10" t="str">
        <f>IFERROR(__xludf.DUMMYFUNCTION("""COMPUTED_VALUE"""),"Nuraeni Ritakumalasari,Ari Susanti,,")</f>
        <v>Nuraeni Ritakumalasari,Ari Susanti,,</v>
      </c>
      <c r="Q7" s="11" t="str">
        <f>IFERROR(__xludf.DUMMYFUNCTION("""COMPUTED_VALUE"""),"https://journal.unesa.ac.id/index.php/jim/article/view/15787")</f>
        <v>https://journal.unesa.ac.id/index.php/jim/article/view/15787</v>
      </c>
      <c r="R7" s="6"/>
    </row>
    <row r="8">
      <c r="A8" s="5">
        <f>IFERROR(__xludf.DUMMYFUNCTION("""COMPUTED_VALUE"""),7.0)</f>
        <v>7</v>
      </c>
      <c r="B8" s="6" t="str">
        <f>IFERROR(__xludf.DUMMYFUNCTION("""COMPUTED_VALUE"""),"Pemanfaatan Limbah Kulit Kopi (Cascara) Menjadi Minuman Teh Kemasan Di Sondakan, Kecamatan Laweyan, Kota Surakarta, Jawa Tengah")</f>
        <v>Pemanfaatan Limbah Kulit Kopi (Cascara) Menjadi Minuman Teh Kemasan Di Sondakan, Kecamatan Laweyan, Kota Surakarta, Jawa Tengah</v>
      </c>
      <c r="C8" s="7">
        <f>IFERROR(__xludf.DUMMYFUNCTION("""COMPUTED_VALUE"""),2021.0)</f>
        <v>2021</v>
      </c>
      <c r="D8" s="8" t="str">
        <f>IFERROR(__xludf.DUMMYFUNCTION("""COMPUTED_VALUE"""),"2021/2022")</f>
        <v>2021/2022</v>
      </c>
      <c r="E8" s="9">
        <f>IFERROR(__xludf.DUMMYFUNCTION("""COMPUTED_VALUE"""),44559.0)</f>
        <v>44559</v>
      </c>
      <c r="F8" s="5" t="str">
        <f>IFERROR(__xludf.DUMMYFUNCTION("""COMPUTED_VALUE"""),"Ganjil")</f>
        <v>Ganjil</v>
      </c>
      <c r="G8" s="5" t="str">
        <f>IFERROR(__xludf.DUMMYFUNCTION("""COMPUTED_VALUE"""),"Manajemen")</f>
        <v>Manajemen</v>
      </c>
      <c r="H8" s="10" t="str">
        <f>IFERROR(__xludf.DUMMYFUNCTION("""COMPUTED_VALUE"""),"Dosen")</f>
        <v>Dosen</v>
      </c>
      <c r="I8" s="6" t="str">
        <f>IFERROR(__xludf.DUMMYFUNCTION("""COMPUTED_VALUE"""),"Ari Susanti")</f>
        <v>Ari Susanti</v>
      </c>
      <c r="J8" s="6" t="str">
        <f>IFERROR(__xludf.DUMMYFUNCTION("""COMPUTED_VALUE"""),"Aditya Liliyan")</f>
        <v>Aditya Liliyan</v>
      </c>
      <c r="K8" s="6" t="str">
        <f>IFERROR(__xludf.DUMMYFUNCTION("""COMPUTED_VALUE"""),"Mellia Silvy Irdianty")</f>
        <v>Mellia Silvy Irdianty</v>
      </c>
      <c r="L8" s="6"/>
      <c r="M8" s="6"/>
      <c r="N8" s="6"/>
      <c r="O8" s="6"/>
      <c r="P8" s="10" t="str">
        <f>IFERROR(__xludf.DUMMYFUNCTION("""COMPUTED_VALUE"""),"Ari Susanti,Aditya Liliyan,Mellia Silvy Irdianty,")</f>
        <v>Ari Susanti,Aditya Liliyan,Mellia Silvy Irdianty,</v>
      </c>
      <c r="Q8" s="11" t="str">
        <f>IFERROR(__xludf.DUMMYFUNCTION("""COMPUTED_VALUE"""),"https://drive.google.com/file/d/1mLrWA4w9p5p84bwV6Me6Y09UoamJ_b9g/view?usp=drive_link")</f>
        <v>https://drive.google.com/file/d/1mLrWA4w9p5p84bwV6Me6Y09UoamJ_b9g/view?usp=drive_link</v>
      </c>
      <c r="R8" s="11" t="str">
        <f>IFERROR(__xludf.DUMMYFUNCTION("""COMPUTED_VALUE"""),"https://journal.neolectura.com/index.php/Kangmas/article/view/433")</f>
        <v>https://journal.neolectura.com/index.php/Kangmas/article/view/433</v>
      </c>
    </row>
    <row r="9">
      <c r="A9" s="5">
        <f>IFERROR(__xludf.DUMMYFUNCTION("""COMPUTED_VALUE"""),8.0)</f>
        <v>8</v>
      </c>
      <c r="B9" s="6" t="str">
        <f>IFERROR(__xludf.DUMMYFUNCTION("""COMPUTED_VALUE"""),"Pemanfaatan Limbah Kulit Kopi (Cascara) Menjadi Minuman Teh Kemasan UMKM Kopipa.id Di Surakarta")</f>
        <v>Pemanfaatan Limbah Kulit Kopi (Cascara) Menjadi Minuman Teh Kemasan UMKM Kopipa.id Di Surakarta</v>
      </c>
      <c r="C9" s="7">
        <f>IFERROR(__xludf.DUMMYFUNCTION("""COMPUTED_VALUE"""),2021.0)</f>
        <v>2021</v>
      </c>
      <c r="D9" s="8" t="str">
        <f>IFERROR(__xludf.DUMMYFUNCTION("""COMPUTED_VALUE"""),"2021/2022")</f>
        <v>2021/2022</v>
      </c>
      <c r="E9" s="9">
        <f>IFERROR(__xludf.DUMMYFUNCTION("""COMPUTED_VALUE"""),44559.0)</f>
        <v>44559</v>
      </c>
      <c r="F9" s="5" t="str">
        <f>IFERROR(__xludf.DUMMYFUNCTION("""COMPUTED_VALUE"""),"Ganjil")</f>
        <v>Ganjil</v>
      </c>
      <c r="G9" s="5" t="str">
        <f>IFERROR(__xludf.DUMMYFUNCTION("""COMPUTED_VALUE"""),"Manajemen")</f>
        <v>Manajemen</v>
      </c>
      <c r="H9" s="10" t="str">
        <f>IFERROR(__xludf.DUMMYFUNCTION("""COMPUTED_VALUE"""),"Dosen")</f>
        <v>Dosen</v>
      </c>
      <c r="I9" s="6" t="str">
        <f>IFERROR(__xludf.DUMMYFUNCTION("""COMPUTED_VALUE"""),"Ari Susanti")</f>
        <v>Ari Susanti</v>
      </c>
      <c r="J9" s="6" t="str">
        <f>IFERROR(__xludf.DUMMYFUNCTION("""COMPUTED_VALUE"""),"Aditya Liliyan")</f>
        <v>Aditya Liliyan</v>
      </c>
      <c r="K9" s="6"/>
      <c r="L9" s="6"/>
      <c r="M9" s="6"/>
      <c r="N9" s="6"/>
      <c r="O9" s="6"/>
      <c r="P9" s="10" t="str">
        <f>IFERROR(__xludf.DUMMYFUNCTION("""COMPUTED_VALUE"""),"Ari Susanti,Aditya Liliyan,,")</f>
        <v>Ari Susanti,Aditya Liliyan,,</v>
      </c>
      <c r="Q9" s="11" t="str">
        <f>IFERROR(__xludf.DUMMYFUNCTION("""COMPUTED_VALUE"""),"https://drive.google.com/file/d/1G_1I_NRKJH1vgPSKtZ7xt_SUTNWuhwaQ/view?usp=drive_link")</f>
        <v>https://drive.google.com/file/d/1G_1I_NRKJH1vgPSKtZ7xt_SUTNWuhwaQ/view?usp=drive_link</v>
      </c>
      <c r="R9" s="11" t="str">
        <f>IFERROR(__xludf.DUMMYFUNCTION("""COMPUTED_VALUE"""),"https://radarsolo.jawapos.com/pendidikan/841673316/sties-surakarta-sulap-limbah-kopi-jadi-teh-kemasan")</f>
        <v>https://radarsolo.jawapos.com/pendidikan/841673316/sties-surakarta-sulap-limbah-kopi-jadi-teh-kemasan</v>
      </c>
    </row>
    <row r="10">
      <c r="A10" s="5">
        <f>IFERROR(__xludf.DUMMYFUNCTION("""COMPUTED_VALUE"""),9.0)</f>
        <v>9</v>
      </c>
      <c r="B10" s="6" t="str">
        <f>IFERROR(__xludf.DUMMYFUNCTION("""COMPUTED_VALUE"""),"Pengaruh Label Halal, Persepsi Kualitas, Dan Inovasi Produk Terhadap Keputusan Pembelian Indomie")</f>
        <v>Pengaruh Label Halal, Persepsi Kualitas, Dan Inovasi Produk Terhadap Keputusan Pembelian Indomie</v>
      </c>
      <c r="C10" s="7">
        <f>IFERROR(__xludf.DUMMYFUNCTION("""COMPUTED_VALUE"""),2021.0)</f>
        <v>2021</v>
      </c>
      <c r="D10" s="8" t="str">
        <f>IFERROR(__xludf.DUMMYFUNCTION("""COMPUTED_VALUE"""),"2021/2022")</f>
        <v>2021/2022</v>
      </c>
      <c r="E10" s="9">
        <f>IFERROR(__xludf.DUMMYFUNCTION("""COMPUTED_VALUE"""),44559.0)</f>
        <v>44559</v>
      </c>
      <c r="F10" s="5" t="str">
        <f>IFERROR(__xludf.DUMMYFUNCTION("""COMPUTED_VALUE"""),"Ganjil")</f>
        <v>Ganjil</v>
      </c>
      <c r="G10" s="5" t="str">
        <f>IFERROR(__xludf.DUMMYFUNCTION("""COMPUTED_VALUE"""),"Manajemen")</f>
        <v>Manajemen</v>
      </c>
      <c r="H10" s="10" t="str">
        <f>IFERROR(__xludf.DUMMYFUNCTION("""COMPUTED_VALUE"""),"Mahasiswa")</f>
        <v>Mahasiswa</v>
      </c>
      <c r="I10" s="6" t="str">
        <f>IFERROR(__xludf.DUMMYFUNCTION("""COMPUTED_VALUE"""),"Vidhea Ajeng Fatmawati")</f>
        <v>Vidhea Ajeng Fatmawati</v>
      </c>
      <c r="J10" s="6" t="str">
        <f>IFERROR(__xludf.DUMMYFUNCTION("""COMPUTED_VALUE"""),"Muhammad Jalari")</f>
        <v>Muhammad Jalari</v>
      </c>
      <c r="K10" s="6"/>
      <c r="L10" s="6"/>
      <c r="M10" s="6"/>
      <c r="N10" s="6"/>
      <c r="O10" s="6"/>
      <c r="P10" s="10" t="str">
        <f>IFERROR(__xludf.DUMMYFUNCTION("""COMPUTED_VALUE"""),"Vidhea Ajeng Fatmawati,Muhammad Jalari,,")</f>
        <v>Vidhea Ajeng Fatmawati,Muhammad Jalari,,</v>
      </c>
      <c r="Q10" s="11" t="str">
        <f>IFERROR(__xludf.DUMMYFUNCTION("""COMPUTED_VALUE"""),"https://ejournal.urindo.ac.id/index.php/administrasimanajemen/issue/archive")</f>
        <v>https://ejournal.urindo.ac.id/index.php/administrasimanajemen/issue/archive</v>
      </c>
      <c r="R10" s="6"/>
    </row>
    <row r="11">
      <c r="A11" s="5">
        <f>IFERROR(__xludf.DUMMYFUNCTION("""COMPUTED_VALUE"""),10.0)</f>
        <v>10</v>
      </c>
      <c r="B11" s="6" t="str">
        <f>IFERROR(__xludf.DUMMYFUNCTION("""COMPUTED_VALUE"""),"PENGAWASAN, KOMPENSASI, KEPEMIMPINAN DAN LINGKUNGAN KERJA TERHADAP DISIPLIN KERJA GURU SMPN 1 KUNDURAN BLORA")</f>
        <v>PENGAWASAN, KOMPENSASI, KEPEMIMPINAN DAN LINGKUNGAN KERJA TERHADAP DISIPLIN KERJA GURU SMPN 1 KUNDURAN BLORA</v>
      </c>
      <c r="C11" s="7">
        <f>IFERROR(__xludf.DUMMYFUNCTION("""COMPUTED_VALUE"""),2021.0)</f>
        <v>2021</v>
      </c>
      <c r="D11" s="8" t="str">
        <f>IFERROR(__xludf.DUMMYFUNCTION("""COMPUTED_VALUE"""),"2021/2022")</f>
        <v>2021/2022</v>
      </c>
      <c r="E11" s="9">
        <f>IFERROR(__xludf.DUMMYFUNCTION("""COMPUTED_VALUE"""),44559.0)</f>
        <v>44559</v>
      </c>
      <c r="F11" s="5" t="str">
        <f>IFERROR(__xludf.DUMMYFUNCTION("""COMPUTED_VALUE"""),"Ganjil")</f>
        <v>Ganjil</v>
      </c>
      <c r="G11" s="5" t="str">
        <f>IFERROR(__xludf.DUMMYFUNCTION("""COMPUTED_VALUE"""),"Manajemen")</f>
        <v>Manajemen</v>
      </c>
      <c r="H11" s="10" t="str">
        <f>IFERROR(__xludf.DUMMYFUNCTION("""COMPUTED_VALUE"""),"Mahasiswa")</f>
        <v>Mahasiswa</v>
      </c>
      <c r="I11" s="6" t="str">
        <f>IFERROR(__xludf.DUMMYFUNCTION("""COMPUTED_VALUE"""),"Rizki Widianti")</f>
        <v>Rizki Widianti</v>
      </c>
      <c r="J11" s="6" t="str">
        <f>IFERROR(__xludf.DUMMYFUNCTION("""COMPUTED_VALUE"""),"Ida Ayu Kade")</f>
        <v>Ida Ayu Kade</v>
      </c>
      <c r="K11" s="6"/>
      <c r="L11" s="6"/>
      <c r="M11" s="6"/>
      <c r="N11" s="6"/>
      <c r="O11" s="6"/>
      <c r="P11" s="10" t="str">
        <f>IFERROR(__xludf.DUMMYFUNCTION("""COMPUTED_VALUE"""),"Rizki Widianti,Ida Ayu Kade,,")</f>
        <v>Rizki Widianti,Ida Ayu Kade,,</v>
      </c>
      <c r="Q11" s="11" t="str">
        <f>IFERROR(__xludf.DUMMYFUNCTION("""COMPUTED_VALUE"""),"https://ejournal.uika-bogor.ac.id/index.php/Manager/issue/archive")</f>
        <v>https://ejournal.uika-bogor.ac.id/index.php/Manager/issue/archive</v>
      </c>
      <c r="R11" s="6"/>
    </row>
    <row r="12">
      <c r="A12" s="5">
        <f>IFERROR(__xludf.DUMMYFUNCTION("""COMPUTED_VALUE"""),11.0)</f>
        <v>11</v>
      </c>
      <c r="B12" s="6" t="str">
        <f>IFERROR(__xludf.DUMMYFUNCTION("""COMPUTED_VALUE"""),"Pengaruh Kualitas Produk, Harga, Promosi, Dan Citra Merek Terhadap Keputusan Pembelian Rokok Gama Di Wilayah Karanganyar")</f>
        <v>Pengaruh Kualitas Produk, Harga, Promosi, Dan Citra Merek Terhadap Keputusan Pembelian Rokok Gama Di Wilayah Karanganyar</v>
      </c>
      <c r="C12" s="7">
        <f>IFERROR(__xludf.DUMMYFUNCTION("""COMPUTED_VALUE"""),2021.0)</f>
        <v>2021</v>
      </c>
      <c r="D12" s="8" t="str">
        <f>IFERROR(__xludf.DUMMYFUNCTION("""COMPUTED_VALUE"""),"2021/2022")</f>
        <v>2021/2022</v>
      </c>
      <c r="E12" s="9">
        <f>IFERROR(__xludf.DUMMYFUNCTION("""COMPUTED_VALUE"""),44559.0)</f>
        <v>44559</v>
      </c>
      <c r="F12" s="5" t="str">
        <f>IFERROR(__xludf.DUMMYFUNCTION("""COMPUTED_VALUE"""),"Ganjil")</f>
        <v>Ganjil</v>
      </c>
      <c r="G12" s="5" t="str">
        <f>IFERROR(__xludf.DUMMYFUNCTION("""COMPUTED_VALUE"""),"Manajemen")</f>
        <v>Manajemen</v>
      </c>
      <c r="H12" s="10" t="str">
        <f>IFERROR(__xludf.DUMMYFUNCTION("""COMPUTED_VALUE"""),"Mahasiswa")</f>
        <v>Mahasiswa</v>
      </c>
      <c r="I12" s="6" t="str">
        <f>IFERROR(__xludf.DUMMYFUNCTION("""COMPUTED_VALUE"""),"Helfina Rina Risani")</f>
        <v>Helfina Rina Risani</v>
      </c>
      <c r="J12" s="6" t="str">
        <f>IFERROR(__xludf.DUMMYFUNCTION("""COMPUTED_VALUE"""),"Christiawan Hendratmoko")</f>
        <v>Christiawan Hendratmoko</v>
      </c>
      <c r="K12" s="6"/>
      <c r="L12" s="6"/>
      <c r="M12" s="6"/>
      <c r="N12" s="6"/>
      <c r="O12" s="6"/>
      <c r="P12" s="10" t="str">
        <f>IFERROR(__xludf.DUMMYFUNCTION("""COMPUTED_VALUE"""),"Helfina Rina Risani,Christiawan Hendratmoko,,")</f>
        <v>Helfina Rina Risani,Christiawan Hendratmoko,,</v>
      </c>
      <c r="Q12" s="11" t="str">
        <f>IFERROR(__xludf.DUMMYFUNCTION("""COMPUTED_VALUE"""),"jurnal ilmiah edunomika")</f>
        <v>jurnal ilmiah edunomika</v>
      </c>
      <c r="R12" s="6"/>
    </row>
    <row r="13">
      <c r="A13" s="5">
        <f>IFERROR(__xludf.DUMMYFUNCTION("""COMPUTED_VALUE"""),12.0)</f>
        <v>12</v>
      </c>
      <c r="B13" s="6" t="str">
        <f>IFERROR(__xludf.DUMMYFUNCTION("""COMPUTED_VALUE"""),"Pengaruh Gaya Hidup, Brand Ambbassador dan Online Customer Review Terhadap Keputusan Pembelian Kosmetik Maybelline di Kota Surakarta")</f>
        <v>Pengaruh Gaya Hidup, Brand Ambbassador dan Online Customer Review Terhadap Keputusan Pembelian Kosmetik Maybelline di Kota Surakarta</v>
      </c>
      <c r="C13" s="7">
        <f>IFERROR(__xludf.DUMMYFUNCTION("""COMPUTED_VALUE"""),2021.0)</f>
        <v>2021</v>
      </c>
      <c r="D13" s="8" t="str">
        <f>IFERROR(__xludf.DUMMYFUNCTION("""COMPUTED_VALUE"""),"2021/2022")</f>
        <v>2021/2022</v>
      </c>
      <c r="E13" s="9">
        <f>IFERROR(__xludf.DUMMYFUNCTION("""COMPUTED_VALUE"""),44559.0)</f>
        <v>44559</v>
      </c>
      <c r="F13" s="5" t="str">
        <f>IFERROR(__xludf.DUMMYFUNCTION("""COMPUTED_VALUE"""),"Ganjil")</f>
        <v>Ganjil</v>
      </c>
      <c r="G13" s="5" t="str">
        <f>IFERROR(__xludf.DUMMYFUNCTION("""COMPUTED_VALUE"""),"Manajemen")</f>
        <v>Manajemen</v>
      </c>
      <c r="H13" s="10" t="str">
        <f>IFERROR(__xludf.DUMMYFUNCTION("""COMPUTED_VALUE"""),"Mahasiswa")</f>
        <v>Mahasiswa</v>
      </c>
      <c r="I13" s="6" t="str">
        <f>IFERROR(__xludf.DUMMYFUNCTION("""COMPUTED_VALUE"""),"Lilis Hanita")</f>
        <v>Lilis Hanita</v>
      </c>
      <c r="J13" s="6" t="str">
        <f>IFERROR(__xludf.DUMMYFUNCTION("""COMPUTED_VALUE"""),"Heny Kurnianingsih")</f>
        <v>Heny Kurnianingsih</v>
      </c>
      <c r="K13" s="6"/>
      <c r="L13" s="6"/>
      <c r="M13" s="6"/>
      <c r="N13" s="6"/>
      <c r="O13" s="6"/>
      <c r="P13" s="10" t="str">
        <f>IFERROR(__xludf.DUMMYFUNCTION("""COMPUTED_VALUE"""),"Lilis Hanita,Heny Kurnianingsih,,")</f>
        <v>Lilis Hanita,Heny Kurnianingsih,,</v>
      </c>
      <c r="Q13" s="11" t="str">
        <f>IFERROR(__xludf.DUMMYFUNCTION("""COMPUTED_VALUE"""),"https://e-journal.naureendigition.com/index.php/pmb/issue/archive")</f>
        <v>https://e-journal.naureendigition.com/index.php/pmb/issue/archive</v>
      </c>
      <c r="R13" s="6"/>
    </row>
    <row r="14">
      <c r="A14" s="5">
        <f>IFERROR(__xludf.DUMMYFUNCTION("""COMPUTED_VALUE"""),13.0)</f>
        <v>13</v>
      </c>
      <c r="B14" s="6" t="str">
        <f>IFERROR(__xludf.DUMMYFUNCTION("""COMPUTED_VALUE"""),"Pengaruh Promosi, Kualitas Produk, Awareness, Citra Merek terhadap Keputusan Pembelian Produk Motor Honda Scoopy di Surakarta")</f>
        <v>Pengaruh Promosi, Kualitas Produk, Awareness, Citra Merek terhadap Keputusan Pembelian Produk Motor Honda Scoopy di Surakarta</v>
      </c>
      <c r="C14" s="7">
        <f>IFERROR(__xludf.DUMMYFUNCTION("""COMPUTED_VALUE"""),2021.0)</f>
        <v>2021</v>
      </c>
      <c r="D14" s="8" t="str">
        <f>IFERROR(__xludf.DUMMYFUNCTION("""COMPUTED_VALUE"""),"2021/2022")</f>
        <v>2021/2022</v>
      </c>
      <c r="E14" s="9">
        <f>IFERROR(__xludf.DUMMYFUNCTION("""COMPUTED_VALUE"""),44559.0)</f>
        <v>44559</v>
      </c>
      <c r="F14" s="5" t="str">
        <f>IFERROR(__xludf.DUMMYFUNCTION("""COMPUTED_VALUE"""),"Ganjil")</f>
        <v>Ganjil</v>
      </c>
      <c r="G14" s="5" t="str">
        <f>IFERROR(__xludf.DUMMYFUNCTION("""COMPUTED_VALUE"""),"Manajemen")</f>
        <v>Manajemen</v>
      </c>
      <c r="H14" s="10" t="str">
        <f>IFERROR(__xludf.DUMMYFUNCTION("""COMPUTED_VALUE"""),"Dosen")</f>
        <v>Dosen</v>
      </c>
      <c r="I14" s="6" t="str">
        <f>IFERROR(__xludf.DUMMYFUNCTION("""COMPUTED_VALUE"""),"Heny Kurnianingsih")</f>
        <v>Heny Kurnianingsih</v>
      </c>
      <c r="J14" s="6" t="str">
        <f>IFERROR(__xludf.DUMMYFUNCTION("""COMPUTED_VALUE"""),"Erdina Indriyanti")</f>
        <v>Erdina Indriyanti</v>
      </c>
      <c r="K14" s="6"/>
      <c r="L14" s="6"/>
      <c r="M14" s="6"/>
      <c r="N14" s="6"/>
      <c r="O14" s="6"/>
      <c r="P14" s="10" t="str">
        <f>IFERROR(__xludf.DUMMYFUNCTION("""COMPUTED_VALUE"""),"Heny Kurnianingsih,Erdina Indriyanti,,")</f>
        <v>Heny Kurnianingsih,Erdina Indriyanti,,</v>
      </c>
      <c r="Q14" s="6"/>
      <c r="R14" s="6"/>
    </row>
    <row r="15">
      <c r="A15" s="5">
        <f>IFERROR(__xludf.DUMMYFUNCTION("""COMPUTED_VALUE"""),14.0)</f>
        <v>14</v>
      </c>
      <c r="B15" s="6" t="str">
        <f>IFERROR(__xludf.DUMMYFUNCTION("""COMPUTED_VALUE"""),"ANALISA BAURAN PEMASARAN DALAM KEPUTUSANPEMBELIAN ALKOHOL ERA NEW NORMALDI PT BRATACOSOLO")</f>
        <v>ANALISA BAURAN PEMASARAN DALAM KEPUTUSANPEMBELIAN ALKOHOL ERA NEW NORMALDI PT BRATACOSOLO</v>
      </c>
      <c r="C15" s="7">
        <f>IFERROR(__xludf.DUMMYFUNCTION("""COMPUTED_VALUE"""),2021.0)</f>
        <v>2021</v>
      </c>
      <c r="D15" s="8" t="str">
        <f>IFERROR(__xludf.DUMMYFUNCTION("""COMPUTED_VALUE"""),"2021/2022")</f>
        <v>2021/2022</v>
      </c>
      <c r="E15" s="9">
        <f>IFERROR(__xludf.DUMMYFUNCTION("""COMPUTED_VALUE"""),44559.0)</f>
        <v>44559</v>
      </c>
      <c r="F15" s="5" t="str">
        <f>IFERROR(__xludf.DUMMYFUNCTION("""COMPUTED_VALUE"""),"Ganjil")</f>
        <v>Ganjil</v>
      </c>
      <c r="G15" s="5" t="str">
        <f>IFERROR(__xludf.DUMMYFUNCTION("""COMPUTED_VALUE"""),"Akuntansi")</f>
        <v>Akuntansi</v>
      </c>
      <c r="H15" s="10" t="str">
        <f>IFERROR(__xludf.DUMMYFUNCTION("""COMPUTED_VALUE"""),"Mahasiswa")</f>
        <v>Mahasiswa</v>
      </c>
      <c r="I15" s="6" t="str">
        <f>IFERROR(__xludf.DUMMYFUNCTION("""COMPUTED_VALUE"""),"Irvan Prasetyo")</f>
        <v>Irvan Prasetyo</v>
      </c>
      <c r="J15" s="6" t="str">
        <f>IFERROR(__xludf.DUMMYFUNCTION("""COMPUTED_VALUE"""),"Pardi")</f>
        <v>Pardi</v>
      </c>
      <c r="K15" s="6"/>
      <c r="L15" s="6"/>
      <c r="M15" s="6"/>
      <c r="N15" s="6"/>
      <c r="O15" s="6"/>
      <c r="P15" s="10" t="str">
        <f>IFERROR(__xludf.DUMMYFUNCTION("""COMPUTED_VALUE"""),"Irvan Prasetyo,Pardi,,")</f>
        <v>Irvan Prasetyo,Pardi,,</v>
      </c>
      <c r="Q15" s="11" t="str">
        <f>IFERROR(__xludf.DUMMYFUNCTION("""COMPUTED_VALUE"""),"http://jurnal.unsil.ac.id/index.php/jem/author")</f>
        <v>http://jurnal.unsil.ac.id/index.php/jem/author</v>
      </c>
      <c r="R15" s="6"/>
    </row>
    <row r="16">
      <c r="A16" s="5">
        <f>IFERROR(__xludf.DUMMYFUNCTION("""COMPUTED_VALUE"""),15.0)</f>
        <v>15</v>
      </c>
      <c r="B16" s="6" t="str">
        <f>IFERROR(__xludf.DUMMYFUNCTION("""COMPUTED_VALUE"""),"ANALISA FAKTOR-FAKTOR DALAM MEMBANGUN PERSONAL BRANDING SEORANG INFLUENCER")</f>
        <v>ANALISA FAKTOR-FAKTOR DALAM MEMBANGUN PERSONAL BRANDING SEORANG INFLUENCER</v>
      </c>
      <c r="C16" s="7">
        <f>IFERROR(__xludf.DUMMYFUNCTION("""COMPUTED_VALUE"""),2021.0)</f>
        <v>2021</v>
      </c>
      <c r="D16" s="8" t="str">
        <f>IFERROR(__xludf.DUMMYFUNCTION("""COMPUTED_VALUE"""),"2021/2022")</f>
        <v>2021/2022</v>
      </c>
      <c r="E16" s="9">
        <f>IFERROR(__xludf.DUMMYFUNCTION("""COMPUTED_VALUE"""),44559.0)</f>
        <v>44559</v>
      </c>
      <c r="F16" s="5" t="str">
        <f>IFERROR(__xludf.DUMMYFUNCTION("""COMPUTED_VALUE"""),"Ganjil")</f>
        <v>Ganjil</v>
      </c>
      <c r="G16" s="5" t="str">
        <f>IFERROR(__xludf.DUMMYFUNCTION("""COMPUTED_VALUE"""),"Manajemen")</f>
        <v>Manajemen</v>
      </c>
      <c r="H16" s="10" t="str">
        <f>IFERROR(__xludf.DUMMYFUNCTION("""COMPUTED_VALUE"""),"Mahasiswa")</f>
        <v>Mahasiswa</v>
      </c>
      <c r="I16" s="6" t="str">
        <f>IFERROR(__xludf.DUMMYFUNCTION("""COMPUTED_VALUE"""),"Shintadea Christanisa")</f>
        <v>Shintadea Christanisa</v>
      </c>
      <c r="J16" s="6" t="str">
        <f>IFERROR(__xludf.DUMMYFUNCTION("""COMPUTED_VALUE"""),"Heny Kurnianingsih")</f>
        <v>Heny Kurnianingsih</v>
      </c>
      <c r="K16" s="6"/>
      <c r="L16" s="6"/>
      <c r="M16" s="6"/>
      <c r="N16" s="6"/>
      <c r="O16" s="6"/>
      <c r="P16" s="10" t="str">
        <f>IFERROR(__xludf.DUMMYFUNCTION("""COMPUTED_VALUE"""),"Shintadea Christanisa,Heny Kurnianingsih,,")</f>
        <v>Shintadea Christanisa,Heny Kurnianingsih,,</v>
      </c>
      <c r="Q16" s="11" t="str">
        <f>IFERROR(__xludf.DUMMYFUNCTION("""COMPUTED_VALUE"""),"https://ejournal.utmj.ac.id/index.php/ekobis/article/view/292")</f>
        <v>https://ejournal.utmj.ac.id/index.php/ekobis/article/view/292</v>
      </c>
      <c r="R16" s="6"/>
    </row>
    <row r="17">
      <c r="A17" s="5">
        <f>IFERROR(__xludf.DUMMYFUNCTION("""COMPUTED_VALUE"""),16.0)</f>
        <v>16</v>
      </c>
      <c r="B17" s="6" t="str">
        <f>IFERROR(__xludf.DUMMYFUNCTION("""COMPUTED_VALUE"""),"Analisis Kualitas Produk, Brand Image Dan Harga Terhadap Minat Beli Smartphone Samsung Di Surakarta")</f>
        <v>Analisis Kualitas Produk, Brand Image Dan Harga Terhadap Minat Beli Smartphone Samsung Di Surakarta</v>
      </c>
      <c r="C17" s="7">
        <f>IFERROR(__xludf.DUMMYFUNCTION("""COMPUTED_VALUE"""),2021.0)</f>
        <v>2021</v>
      </c>
      <c r="D17" s="8" t="str">
        <f>IFERROR(__xludf.DUMMYFUNCTION("""COMPUTED_VALUE"""),"2021/2022")</f>
        <v>2021/2022</v>
      </c>
      <c r="E17" s="9">
        <f>IFERROR(__xludf.DUMMYFUNCTION("""COMPUTED_VALUE"""),44559.0)</f>
        <v>44559</v>
      </c>
      <c r="F17" s="5" t="str">
        <f>IFERROR(__xludf.DUMMYFUNCTION("""COMPUTED_VALUE"""),"Ganjil")</f>
        <v>Ganjil</v>
      </c>
      <c r="G17" s="5" t="str">
        <f>IFERROR(__xludf.DUMMYFUNCTION("""COMPUTED_VALUE"""),"Akuntansi")</f>
        <v>Akuntansi</v>
      </c>
      <c r="H17" s="10" t="str">
        <f>IFERROR(__xludf.DUMMYFUNCTION("""COMPUTED_VALUE"""),"Mahasiswa")</f>
        <v>Mahasiswa</v>
      </c>
      <c r="I17" s="6" t="str">
        <f>IFERROR(__xludf.DUMMYFUNCTION("""COMPUTED_VALUE"""),"Ikko Pranciska")</f>
        <v>Ikko Pranciska</v>
      </c>
      <c r="J17" s="6" t="str">
        <f>IFERROR(__xludf.DUMMYFUNCTION("""COMPUTED_VALUE"""),"Tri Ratna Pamikatsih")</f>
        <v>Tri Ratna Pamikatsih</v>
      </c>
      <c r="K17" s="6"/>
      <c r="L17" s="6"/>
      <c r="M17" s="6"/>
      <c r="N17" s="6"/>
      <c r="O17" s="6"/>
      <c r="P17" s="10" t="str">
        <f>IFERROR(__xludf.DUMMYFUNCTION("""COMPUTED_VALUE"""),"Ikko Pranciska,Tri Ratna Pamikatsih,,")</f>
        <v>Ikko Pranciska,Tri Ratna Pamikatsih,,</v>
      </c>
      <c r="Q17" s="6"/>
      <c r="R17" s="6"/>
    </row>
    <row r="18">
      <c r="A18" s="5">
        <f>IFERROR(__xludf.DUMMYFUNCTION("""COMPUTED_VALUE"""),17.0)</f>
        <v>17</v>
      </c>
      <c r="B18" s="6" t="str">
        <f>IFERROR(__xludf.DUMMYFUNCTION("""COMPUTED_VALUE"""),"Analisis Atribut Produk, Promosi, Pribadi Dan Psikologis Terhadap Keputusan Pembelian Honda Brio Di Jawa Tengah")</f>
        <v>Analisis Atribut Produk, Promosi, Pribadi Dan Psikologis Terhadap Keputusan Pembelian Honda Brio Di Jawa Tengah</v>
      </c>
      <c r="C18" s="7">
        <f>IFERROR(__xludf.DUMMYFUNCTION("""COMPUTED_VALUE"""),2021.0)</f>
        <v>2021</v>
      </c>
      <c r="D18" s="8" t="str">
        <f>IFERROR(__xludf.DUMMYFUNCTION("""COMPUTED_VALUE"""),"2021/2022")</f>
        <v>2021/2022</v>
      </c>
      <c r="E18" s="9">
        <f>IFERROR(__xludf.DUMMYFUNCTION("""COMPUTED_VALUE"""),44559.0)</f>
        <v>44559</v>
      </c>
      <c r="F18" s="5" t="str">
        <f>IFERROR(__xludf.DUMMYFUNCTION("""COMPUTED_VALUE"""),"Ganjil")</f>
        <v>Ganjil</v>
      </c>
      <c r="G18" s="5" t="str">
        <f>IFERROR(__xludf.DUMMYFUNCTION("""COMPUTED_VALUE"""),"Akuntansi")</f>
        <v>Akuntansi</v>
      </c>
      <c r="H18" s="10" t="str">
        <f>IFERROR(__xludf.DUMMYFUNCTION("""COMPUTED_VALUE"""),"Mahasiswa")</f>
        <v>Mahasiswa</v>
      </c>
      <c r="I18" s="6" t="str">
        <f>IFERROR(__xludf.DUMMYFUNCTION("""COMPUTED_VALUE"""),"Leonezer Siadari")</f>
        <v>Leonezer Siadari</v>
      </c>
      <c r="J18" s="6" t="str">
        <f>IFERROR(__xludf.DUMMYFUNCTION("""COMPUTED_VALUE"""),"Pardi")</f>
        <v>Pardi</v>
      </c>
      <c r="K18" s="6"/>
      <c r="L18" s="6"/>
      <c r="M18" s="6"/>
      <c r="N18" s="6"/>
      <c r="O18" s="6"/>
      <c r="P18" s="10" t="str">
        <f>IFERROR(__xludf.DUMMYFUNCTION("""COMPUTED_VALUE"""),"Leonezer Siadari,Pardi,,")</f>
        <v>Leonezer Siadari,Pardi,,</v>
      </c>
      <c r="Q18" s="11" t="str">
        <f>IFERROR(__xludf.DUMMYFUNCTION("""COMPUTED_VALUE"""),"https://jurnal.stie-aas.ac.id/index.php/jie/article/download/5745/pdf")</f>
        <v>https://jurnal.stie-aas.ac.id/index.php/jie/article/download/5745/pdf</v>
      </c>
      <c r="R18" s="6"/>
    </row>
    <row r="19">
      <c r="A19" s="5">
        <f>IFERROR(__xludf.DUMMYFUNCTION("""COMPUTED_VALUE"""),18.0)</f>
        <v>18</v>
      </c>
      <c r="B19" s="6" t="str">
        <f>IFERROR(__xludf.DUMMYFUNCTION("""COMPUTED_VALUE"""),"ANALISIS FAKTOR – FAKTOR YANG MEMPENGARUHI CUSTOMER LOYALTY TERHADAP PRODUK INDOMIE DENGAN CUSTOMER SATISFACTION SEBAGAI VARIABEL INTERVENING")</f>
        <v>ANALISIS FAKTOR – FAKTOR YANG MEMPENGARUHI CUSTOMER LOYALTY TERHADAP PRODUK INDOMIE DENGAN CUSTOMER SATISFACTION SEBAGAI VARIABEL INTERVENING</v>
      </c>
      <c r="C19" s="7">
        <f>IFERROR(__xludf.DUMMYFUNCTION("""COMPUTED_VALUE"""),2021.0)</f>
        <v>2021</v>
      </c>
      <c r="D19" s="8" t="str">
        <f>IFERROR(__xludf.DUMMYFUNCTION("""COMPUTED_VALUE"""),"2021/2022")</f>
        <v>2021/2022</v>
      </c>
      <c r="E19" s="9">
        <f>IFERROR(__xludf.DUMMYFUNCTION("""COMPUTED_VALUE"""),44559.0)</f>
        <v>44559</v>
      </c>
      <c r="F19" s="5" t="str">
        <f>IFERROR(__xludf.DUMMYFUNCTION("""COMPUTED_VALUE"""),"Ganjil")</f>
        <v>Ganjil</v>
      </c>
      <c r="G19" s="5" t="str">
        <f>IFERROR(__xludf.DUMMYFUNCTION("""COMPUTED_VALUE"""),"Manajemen")</f>
        <v>Manajemen</v>
      </c>
      <c r="H19" s="10" t="str">
        <f>IFERROR(__xludf.DUMMYFUNCTION("""COMPUTED_VALUE"""),"Mahasiswa")</f>
        <v>Mahasiswa</v>
      </c>
      <c r="I19" s="6" t="str">
        <f>IFERROR(__xludf.DUMMYFUNCTION("""COMPUTED_VALUE"""),"Aji Novi Suhendi")</f>
        <v>Aji Novi Suhendi</v>
      </c>
      <c r="J19" s="6" t="str">
        <f>IFERROR(__xludf.DUMMYFUNCTION("""COMPUTED_VALUE"""),"Muhammad Jalari")</f>
        <v>Muhammad Jalari</v>
      </c>
      <c r="K19" s="6"/>
      <c r="L19" s="6"/>
      <c r="M19" s="6"/>
      <c r="N19" s="6"/>
      <c r="O19" s="6"/>
      <c r="P19" s="10" t="str">
        <f>IFERROR(__xludf.DUMMYFUNCTION("""COMPUTED_VALUE"""),"Aji Novi Suhendi,Muhammad Jalari,,")</f>
        <v>Aji Novi Suhendi,Muhammad Jalari,,</v>
      </c>
      <c r="Q19" s="11" t="str">
        <f>IFERROR(__xludf.DUMMYFUNCTION("""COMPUTED_VALUE"""),"https://e-jurnal.nobel.ac.id/index.php/massaro")</f>
        <v>https://e-jurnal.nobel.ac.id/index.php/massaro</v>
      </c>
      <c r="R19" s="6"/>
    </row>
    <row r="20">
      <c r="A20" s="5">
        <f>IFERROR(__xludf.DUMMYFUNCTION("""COMPUTED_VALUE"""),19.0)</f>
        <v>19</v>
      </c>
      <c r="B20" s="6" t="str">
        <f>IFERROR(__xludf.DUMMYFUNCTION("""COMPUTED_VALUE"""),"ANALISIS FAKTOR – FAKTOR YANG MEMPENGARUHI MINAT BELI KONSUMEN KAMERA DSLR CANON")</f>
        <v>ANALISIS FAKTOR – FAKTOR YANG MEMPENGARUHI MINAT BELI KONSUMEN KAMERA DSLR CANON</v>
      </c>
      <c r="C20" s="7">
        <f>IFERROR(__xludf.DUMMYFUNCTION("""COMPUTED_VALUE"""),2021.0)</f>
        <v>2021</v>
      </c>
      <c r="D20" s="8" t="str">
        <f>IFERROR(__xludf.DUMMYFUNCTION("""COMPUTED_VALUE"""),"2021/2022")</f>
        <v>2021/2022</v>
      </c>
      <c r="E20" s="9">
        <f>IFERROR(__xludf.DUMMYFUNCTION("""COMPUTED_VALUE"""),44559.0)</f>
        <v>44559</v>
      </c>
      <c r="F20" s="5" t="str">
        <f>IFERROR(__xludf.DUMMYFUNCTION("""COMPUTED_VALUE"""),"Ganjil")</f>
        <v>Ganjil</v>
      </c>
      <c r="G20" s="5" t="str">
        <f>IFERROR(__xludf.DUMMYFUNCTION("""COMPUTED_VALUE"""),"Manajemen")</f>
        <v>Manajemen</v>
      </c>
      <c r="H20" s="10" t="str">
        <f>IFERROR(__xludf.DUMMYFUNCTION("""COMPUTED_VALUE"""),"Mahasiswa")</f>
        <v>Mahasiswa</v>
      </c>
      <c r="I20" s="6" t="str">
        <f>IFERROR(__xludf.DUMMYFUNCTION("""COMPUTED_VALUE"""),"Fitri Sariani")</f>
        <v>Fitri Sariani</v>
      </c>
      <c r="J20" s="6" t="str">
        <f>IFERROR(__xludf.DUMMYFUNCTION("""COMPUTED_VALUE"""),"Ari Susanti")</f>
        <v>Ari Susanti</v>
      </c>
      <c r="K20" s="6"/>
      <c r="L20" s="6"/>
      <c r="M20" s="6"/>
      <c r="N20" s="6"/>
      <c r="O20" s="6"/>
      <c r="P20" s="10" t="str">
        <f>IFERROR(__xludf.DUMMYFUNCTION("""COMPUTED_VALUE"""),"Fitri Sariani,Ari Susanti,,")</f>
        <v>Fitri Sariani,Ari Susanti,,</v>
      </c>
      <c r="Q20" s="11" t="str">
        <f>IFERROR(__xludf.DUMMYFUNCTION("""COMPUTED_VALUE"""),"https://ejurnal.bunghatta.ac.id/index.php/JMN/issue/view/827")</f>
        <v>https://ejurnal.bunghatta.ac.id/index.php/JMN/issue/view/827</v>
      </c>
      <c r="R20" s="6"/>
    </row>
    <row r="21">
      <c r="A21" s="5">
        <f>IFERROR(__xludf.DUMMYFUNCTION("""COMPUTED_VALUE"""),20.0)</f>
        <v>20</v>
      </c>
      <c r="B21" s="6" t="str">
        <f>IFERROR(__xludf.DUMMYFUNCTION("""COMPUTED_VALUE"""),"ANALISIS FAKTOR YANG MEMPENGARUHI KONSUMEN DALAM KEPUTUSAN PEMBELIAN PAKET DATA TELKOMSEL (Studi Kasus Pengguna Paket Data Telkomsel di Soloraya)")</f>
        <v>ANALISIS FAKTOR YANG MEMPENGARUHI KONSUMEN DALAM KEPUTUSAN PEMBELIAN PAKET DATA TELKOMSEL (Studi Kasus Pengguna Paket Data Telkomsel di Soloraya)</v>
      </c>
      <c r="C21" s="7">
        <f>IFERROR(__xludf.DUMMYFUNCTION("""COMPUTED_VALUE"""),2021.0)</f>
        <v>2021</v>
      </c>
      <c r="D21" s="8" t="str">
        <f>IFERROR(__xludf.DUMMYFUNCTION("""COMPUTED_VALUE"""),"2021/2022")</f>
        <v>2021/2022</v>
      </c>
      <c r="E21" s="9">
        <f>IFERROR(__xludf.DUMMYFUNCTION("""COMPUTED_VALUE"""),44559.0)</f>
        <v>44559</v>
      </c>
      <c r="F21" s="5" t="str">
        <f>IFERROR(__xludf.DUMMYFUNCTION("""COMPUTED_VALUE"""),"Ganjil")</f>
        <v>Ganjil</v>
      </c>
      <c r="G21" s="5" t="str">
        <f>IFERROR(__xludf.DUMMYFUNCTION("""COMPUTED_VALUE"""),"Manajemen")</f>
        <v>Manajemen</v>
      </c>
      <c r="H21" s="10" t="str">
        <f>IFERROR(__xludf.DUMMYFUNCTION("""COMPUTED_VALUE"""),"Mahasiswa")</f>
        <v>Mahasiswa</v>
      </c>
      <c r="I21" s="6" t="str">
        <f>IFERROR(__xludf.DUMMYFUNCTION("""COMPUTED_VALUE"""),"Titi Dwi Lestari")</f>
        <v>Titi Dwi Lestari</v>
      </c>
      <c r="J21" s="6" t="str">
        <f>IFERROR(__xludf.DUMMYFUNCTION("""COMPUTED_VALUE"""),"Hestin")</f>
        <v>Hestin</v>
      </c>
      <c r="K21" s="6"/>
      <c r="L21" s="6"/>
      <c r="M21" s="6"/>
      <c r="N21" s="6"/>
      <c r="O21" s="6"/>
      <c r="P21" s="10" t="str">
        <f>IFERROR(__xludf.DUMMYFUNCTION("""COMPUTED_VALUE"""),"Titi Dwi Lestari,Hestin,,")</f>
        <v>Titi Dwi Lestari,Hestin,,</v>
      </c>
      <c r="Q21" s="11" t="str">
        <f>IFERROR(__xludf.DUMMYFUNCTION("""COMPUTED_VALUE"""),"https://journal.uniku.ac.id/index.php/ijsm/article/view/4055")</f>
        <v>https://journal.uniku.ac.id/index.php/ijsm/article/view/4055</v>
      </c>
      <c r="R21" s="6"/>
    </row>
    <row r="22">
      <c r="A22" s="5">
        <f>IFERROR(__xludf.DUMMYFUNCTION("""COMPUTED_VALUE"""),21.0)</f>
        <v>21</v>
      </c>
      <c r="B22" s="6" t="str">
        <f>IFERROR(__xludf.DUMMYFUNCTION("""COMPUTED_VALUE"""),"Analisis Faktor yang Mempengaruhi Loyalitas Konsumen Hand and Body Lation Vaseline (Studi kasus pengguna Hand and Body Lation Vaseline di Soloraya)")</f>
        <v>Analisis Faktor yang Mempengaruhi Loyalitas Konsumen Hand and Body Lation Vaseline (Studi kasus pengguna Hand and Body Lation Vaseline di Soloraya)</v>
      </c>
      <c r="C22" s="7">
        <f>IFERROR(__xludf.DUMMYFUNCTION("""COMPUTED_VALUE"""),2021.0)</f>
        <v>2021</v>
      </c>
      <c r="D22" s="8" t="str">
        <f>IFERROR(__xludf.DUMMYFUNCTION("""COMPUTED_VALUE"""),"2021/2022")</f>
        <v>2021/2022</v>
      </c>
      <c r="E22" s="9">
        <f>IFERROR(__xludf.DUMMYFUNCTION("""COMPUTED_VALUE"""),44559.0)</f>
        <v>44559</v>
      </c>
      <c r="F22" s="5" t="str">
        <f>IFERROR(__xludf.DUMMYFUNCTION("""COMPUTED_VALUE"""),"Ganjil")</f>
        <v>Ganjil</v>
      </c>
      <c r="G22" s="5" t="str">
        <f>IFERROR(__xludf.DUMMYFUNCTION("""COMPUTED_VALUE"""),"Manajemen")</f>
        <v>Manajemen</v>
      </c>
      <c r="H22" s="10" t="str">
        <f>IFERROR(__xludf.DUMMYFUNCTION("""COMPUTED_VALUE"""),"Mahasiswa")</f>
        <v>Mahasiswa</v>
      </c>
      <c r="I22" s="6" t="str">
        <f>IFERROR(__xludf.DUMMYFUNCTION("""COMPUTED_VALUE"""),"Astri Rima")</f>
        <v>Astri Rima</v>
      </c>
      <c r="J22" s="6" t="str">
        <f>IFERROR(__xludf.DUMMYFUNCTION("""COMPUTED_VALUE"""),"Ida Ayu Kade")</f>
        <v>Ida Ayu Kade</v>
      </c>
      <c r="K22" s="6"/>
      <c r="L22" s="6"/>
      <c r="M22" s="6"/>
      <c r="N22" s="6"/>
      <c r="O22" s="6"/>
      <c r="P22" s="10" t="str">
        <f>IFERROR(__xludf.DUMMYFUNCTION("""COMPUTED_VALUE"""),"Astri Rima,Ida Ayu Kade,,")</f>
        <v>Astri Rima,Ida Ayu Kade,,</v>
      </c>
      <c r="Q22" s="11" t="str">
        <f>IFERROR(__xludf.DUMMYFUNCTION("""COMPUTED_VALUE"""),"https://jurnal.unigal.ac.id/bmej/article/view/5101")</f>
        <v>https://jurnal.unigal.ac.id/bmej/article/view/5101</v>
      </c>
      <c r="R22" s="6"/>
    </row>
    <row r="23">
      <c r="A23" s="5">
        <f>IFERROR(__xludf.DUMMYFUNCTION("""COMPUTED_VALUE"""),22.0)</f>
        <v>22</v>
      </c>
      <c r="B23" s="6" t="str">
        <f>IFERROR(__xludf.DUMMYFUNCTION("""COMPUTED_VALUE"""),"ANALISIS IMPLEMENTASI MARKETING MIX TERHADAP KEPUTUSAN PEMBELIAN DENGAN MINAT BELI SEBAGAI VARIABEL INTERVENING (Studi Pada Pengguna Mobil Honda Brio Di Solo)")</f>
        <v>ANALISIS IMPLEMENTASI MARKETING MIX TERHADAP KEPUTUSAN PEMBELIAN DENGAN MINAT BELI SEBAGAI VARIABEL INTERVENING (Studi Pada Pengguna Mobil Honda Brio Di Solo)</v>
      </c>
      <c r="C23" s="7">
        <f>IFERROR(__xludf.DUMMYFUNCTION("""COMPUTED_VALUE"""),2021.0)</f>
        <v>2021</v>
      </c>
      <c r="D23" s="8" t="str">
        <f>IFERROR(__xludf.DUMMYFUNCTION("""COMPUTED_VALUE"""),"2021/2022")</f>
        <v>2021/2022</v>
      </c>
      <c r="E23" s="9">
        <f>IFERROR(__xludf.DUMMYFUNCTION("""COMPUTED_VALUE"""),44559.0)</f>
        <v>44559</v>
      </c>
      <c r="F23" s="5" t="str">
        <f>IFERROR(__xludf.DUMMYFUNCTION("""COMPUTED_VALUE"""),"Ganjil")</f>
        <v>Ganjil</v>
      </c>
      <c r="G23" s="5" t="str">
        <f>IFERROR(__xludf.DUMMYFUNCTION("""COMPUTED_VALUE"""),"Manajemen")</f>
        <v>Manajemen</v>
      </c>
      <c r="H23" s="10" t="str">
        <f>IFERROR(__xludf.DUMMYFUNCTION("""COMPUTED_VALUE"""),"Mahasiswa")</f>
        <v>Mahasiswa</v>
      </c>
      <c r="I23" s="6" t="str">
        <f>IFERROR(__xludf.DUMMYFUNCTION("""COMPUTED_VALUE"""),"Siska Milawati")</f>
        <v>Siska Milawati</v>
      </c>
      <c r="J23" s="6" t="str">
        <f>IFERROR(__xludf.DUMMYFUNCTION("""COMPUTED_VALUE"""),"Muhammad Jalari")</f>
        <v>Muhammad Jalari</v>
      </c>
      <c r="K23" s="6"/>
      <c r="L23" s="6"/>
      <c r="M23" s="6"/>
      <c r="N23" s="6"/>
      <c r="O23" s="6"/>
      <c r="P23" s="10" t="str">
        <f>IFERROR(__xludf.DUMMYFUNCTION("""COMPUTED_VALUE"""),"Siska Milawati,Muhammad Jalari,,")</f>
        <v>Siska Milawati,Muhammad Jalari,,</v>
      </c>
      <c r="Q23" s="6"/>
      <c r="R23" s="6"/>
    </row>
    <row r="24">
      <c r="A24" s="5">
        <f>IFERROR(__xludf.DUMMYFUNCTION("""COMPUTED_VALUE"""),23.0)</f>
        <v>23</v>
      </c>
      <c r="B24" s="6" t="str">
        <f>IFERROR(__xludf.DUMMYFUNCTION("""COMPUTED_VALUE"""),"Analisis Kualitas Produk, Harga Dan Promosi Dari KOPI JANJI JIWA Dalam Mempengaruhi Keputusan Pembelian oleh Konsumen Di Kota Surakarta")</f>
        <v>Analisis Kualitas Produk, Harga Dan Promosi Dari KOPI JANJI JIWA Dalam Mempengaruhi Keputusan Pembelian oleh Konsumen Di Kota Surakarta</v>
      </c>
      <c r="C24" s="7">
        <f>IFERROR(__xludf.DUMMYFUNCTION("""COMPUTED_VALUE"""),2021.0)</f>
        <v>2021</v>
      </c>
      <c r="D24" s="8" t="str">
        <f>IFERROR(__xludf.DUMMYFUNCTION("""COMPUTED_VALUE"""),"2021/2022")</f>
        <v>2021/2022</v>
      </c>
      <c r="E24" s="9">
        <f>IFERROR(__xludf.DUMMYFUNCTION("""COMPUTED_VALUE"""),44559.0)</f>
        <v>44559</v>
      </c>
      <c r="F24" s="5" t="str">
        <f>IFERROR(__xludf.DUMMYFUNCTION("""COMPUTED_VALUE"""),"Ganjil")</f>
        <v>Ganjil</v>
      </c>
      <c r="G24" s="5" t="str">
        <f>IFERROR(__xludf.DUMMYFUNCTION("""COMPUTED_VALUE"""),"Manajemen")</f>
        <v>Manajemen</v>
      </c>
      <c r="H24" s="10" t="str">
        <f>IFERROR(__xludf.DUMMYFUNCTION("""COMPUTED_VALUE"""),"Mahasiswa")</f>
        <v>Mahasiswa</v>
      </c>
      <c r="I24" s="6" t="str">
        <f>IFERROR(__xludf.DUMMYFUNCTION("""COMPUTED_VALUE"""),"Arinda Safira Putri")</f>
        <v>Arinda Safira Putri</v>
      </c>
      <c r="J24" s="6" t="str">
        <f>IFERROR(__xludf.DUMMYFUNCTION("""COMPUTED_VALUE"""),"Utomo Wibisono")</f>
        <v>Utomo Wibisono</v>
      </c>
      <c r="K24" s="6"/>
      <c r="L24" s="6"/>
      <c r="M24" s="6"/>
      <c r="N24" s="6"/>
      <c r="O24" s="6"/>
      <c r="P24" s="10" t="str">
        <f>IFERROR(__xludf.DUMMYFUNCTION("""COMPUTED_VALUE"""),"Arinda Safira Putri,Utomo Wibisono,,")</f>
        <v>Arinda Safira Putri,Utomo Wibisono,,</v>
      </c>
      <c r="Q24" s="11" t="str">
        <f>IFERROR(__xludf.DUMMYFUNCTION("""COMPUTED_VALUE"""),"http://jurnal.unsil.ac.id/index.php/jem/index")</f>
        <v>http://jurnal.unsil.ac.id/index.php/jem/index</v>
      </c>
      <c r="R24" s="6"/>
    </row>
    <row r="25">
      <c r="A25" s="5">
        <f>IFERROR(__xludf.DUMMYFUNCTION("""COMPUTED_VALUE"""),24.0)</f>
        <v>24</v>
      </c>
      <c r="B25" s="6" t="str">
        <f>IFERROR(__xludf.DUMMYFUNCTION("""COMPUTED_VALUE"""),"Analisis Kualitas Produk, Harga, Citra Merek Terhadap Keputusan Pembelian Produk Firefly Distro Di Surakarta")</f>
        <v>Analisis Kualitas Produk, Harga, Citra Merek Terhadap Keputusan Pembelian Produk Firefly Distro Di Surakarta</v>
      </c>
      <c r="C25" s="7">
        <f>IFERROR(__xludf.DUMMYFUNCTION("""COMPUTED_VALUE"""),2021.0)</f>
        <v>2021</v>
      </c>
      <c r="D25" s="8" t="str">
        <f>IFERROR(__xludf.DUMMYFUNCTION("""COMPUTED_VALUE"""),"2021/2022")</f>
        <v>2021/2022</v>
      </c>
      <c r="E25" s="9">
        <f>IFERROR(__xludf.DUMMYFUNCTION("""COMPUTED_VALUE"""),44559.0)</f>
        <v>44559</v>
      </c>
      <c r="F25" s="5" t="str">
        <f>IFERROR(__xludf.DUMMYFUNCTION("""COMPUTED_VALUE"""),"Ganjil")</f>
        <v>Ganjil</v>
      </c>
      <c r="G25" s="5" t="str">
        <f>IFERROR(__xludf.DUMMYFUNCTION("""COMPUTED_VALUE"""),"Manajemen")</f>
        <v>Manajemen</v>
      </c>
      <c r="H25" s="10" t="str">
        <f>IFERROR(__xludf.DUMMYFUNCTION("""COMPUTED_VALUE"""),"Mahasiswa")</f>
        <v>Mahasiswa</v>
      </c>
      <c r="I25" s="6" t="str">
        <f>IFERROR(__xludf.DUMMYFUNCTION("""COMPUTED_VALUE"""),"Rizka Choirunnisa")</f>
        <v>Rizka Choirunnisa</v>
      </c>
      <c r="J25" s="6" t="str">
        <f>IFERROR(__xludf.DUMMYFUNCTION("""COMPUTED_VALUE"""),"Andri Nurtantiono")</f>
        <v>Andri Nurtantiono</v>
      </c>
      <c r="K25" s="6"/>
      <c r="L25" s="6"/>
      <c r="M25" s="6"/>
      <c r="N25" s="6"/>
      <c r="O25" s="6"/>
      <c r="P25" s="10" t="str">
        <f>IFERROR(__xludf.DUMMYFUNCTION("""COMPUTED_VALUE"""),"Rizka Choirunnisa,Andri Nurtantiono,,")</f>
        <v>Rizka Choirunnisa,Andri Nurtantiono,,</v>
      </c>
      <c r="Q25" s="6"/>
      <c r="R25" s="6"/>
    </row>
    <row r="26">
      <c r="A26" s="5">
        <f>IFERROR(__xludf.DUMMYFUNCTION("""COMPUTED_VALUE"""),25.0)</f>
        <v>25</v>
      </c>
      <c r="B26" s="6" t="str">
        <f>IFERROR(__xludf.DUMMYFUNCTION("""COMPUTED_VALUE"""),"ANALISIS PENERAPAN PRINSIP 5C TERHADAP KELANCARAN PEMBAYARAN KREDIT SWAMITRA KUD BANYUDONO SELATAN")</f>
        <v>ANALISIS PENERAPAN PRINSIP 5C TERHADAP KELANCARAN PEMBAYARAN KREDIT SWAMITRA KUD BANYUDONO SELATAN</v>
      </c>
      <c r="C26" s="7">
        <f>IFERROR(__xludf.DUMMYFUNCTION("""COMPUTED_VALUE"""),2021.0)</f>
        <v>2021</v>
      </c>
      <c r="D26" s="8" t="str">
        <f>IFERROR(__xludf.DUMMYFUNCTION("""COMPUTED_VALUE"""),"2021/2022")</f>
        <v>2021/2022</v>
      </c>
      <c r="E26" s="9">
        <f>IFERROR(__xludf.DUMMYFUNCTION("""COMPUTED_VALUE"""),44559.0)</f>
        <v>44559</v>
      </c>
      <c r="F26" s="5" t="str">
        <f>IFERROR(__xludf.DUMMYFUNCTION("""COMPUTED_VALUE"""),"Ganjil")</f>
        <v>Ganjil</v>
      </c>
      <c r="G26" s="5" t="str">
        <f>IFERROR(__xludf.DUMMYFUNCTION("""COMPUTED_VALUE"""),"Manajemen")</f>
        <v>Manajemen</v>
      </c>
      <c r="H26" s="10" t="str">
        <f>IFERROR(__xludf.DUMMYFUNCTION("""COMPUTED_VALUE"""),"Mahasiswa")</f>
        <v>Mahasiswa</v>
      </c>
      <c r="I26" s="6" t="str">
        <f>IFERROR(__xludf.DUMMYFUNCTION("""COMPUTED_VALUE"""),"Jeffrey Baharsyah")</f>
        <v>Jeffrey Baharsyah</v>
      </c>
      <c r="J26" s="6" t="str">
        <f>IFERROR(__xludf.DUMMYFUNCTION("""COMPUTED_VALUE"""),"Andri Nurtantiono")</f>
        <v>Andri Nurtantiono</v>
      </c>
      <c r="K26" s="6"/>
      <c r="L26" s="6"/>
      <c r="M26" s="6"/>
      <c r="N26" s="6"/>
      <c r="O26" s="6"/>
      <c r="P26" s="10" t="str">
        <f>IFERROR(__xludf.DUMMYFUNCTION("""COMPUTED_VALUE"""),"Jeffrey Baharsyah,Andri Nurtantiono,,")</f>
        <v>Jeffrey Baharsyah,Andri Nurtantiono,,</v>
      </c>
      <c r="Q26" s="6"/>
      <c r="R26" s="6"/>
    </row>
    <row r="27">
      <c r="A27" s="5">
        <f>IFERROR(__xludf.DUMMYFUNCTION("""COMPUTED_VALUE"""),26.0)</f>
        <v>26</v>
      </c>
      <c r="B27" s="6" t="str">
        <f>IFERROR(__xludf.DUMMYFUNCTION("""COMPUTED_VALUE"""),"Analisis Pengaruh Celebrity Instagram terhadap Minat beli Produk Fashion di Instagram")</f>
        <v>Analisis Pengaruh Celebrity Instagram terhadap Minat beli Produk Fashion di Instagram</v>
      </c>
      <c r="C27" s="7">
        <f>IFERROR(__xludf.DUMMYFUNCTION("""COMPUTED_VALUE"""),2021.0)</f>
        <v>2021</v>
      </c>
      <c r="D27" s="8" t="str">
        <f>IFERROR(__xludf.DUMMYFUNCTION("""COMPUTED_VALUE"""),"2021/2022")</f>
        <v>2021/2022</v>
      </c>
      <c r="E27" s="9">
        <f>IFERROR(__xludf.DUMMYFUNCTION("""COMPUTED_VALUE"""),44559.0)</f>
        <v>44559</v>
      </c>
      <c r="F27" s="5" t="str">
        <f>IFERROR(__xludf.DUMMYFUNCTION("""COMPUTED_VALUE"""),"Ganjil")</f>
        <v>Ganjil</v>
      </c>
      <c r="G27" s="5" t="str">
        <f>IFERROR(__xludf.DUMMYFUNCTION("""COMPUTED_VALUE"""),"Manajemen")</f>
        <v>Manajemen</v>
      </c>
      <c r="H27" s="10" t="str">
        <f>IFERROR(__xludf.DUMMYFUNCTION("""COMPUTED_VALUE"""),"Mahasiswa")</f>
        <v>Mahasiswa</v>
      </c>
      <c r="I27" s="6" t="str">
        <f>IFERROR(__xludf.DUMMYFUNCTION("""COMPUTED_VALUE"""),"Desy Lianasari")</f>
        <v>Desy Lianasari</v>
      </c>
      <c r="J27" s="6" t="str">
        <f>IFERROR(__xludf.DUMMYFUNCTION("""COMPUTED_VALUE"""),"Andri Nurtantiono")</f>
        <v>Andri Nurtantiono</v>
      </c>
      <c r="K27" s="6"/>
      <c r="L27" s="6"/>
      <c r="M27" s="6"/>
      <c r="N27" s="6"/>
      <c r="O27" s="6"/>
      <c r="P27" s="10" t="str">
        <f>IFERROR(__xludf.DUMMYFUNCTION("""COMPUTED_VALUE"""),"Desy Lianasari,Andri Nurtantiono,,")</f>
        <v>Desy Lianasari,Andri Nurtantiono,,</v>
      </c>
      <c r="Q27" s="11" t="str">
        <f>IFERROR(__xludf.DUMMYFUNCTION("""COMPUTED_VALUE"""),"http://jurnal.unsil.ac.id/index.php/jem")</f>
        <v>http://jurnal.unsil.ac.id/index.php/jem</v>
      </c>
      <c r="R27" s="6"/>
    </row>
    <row r="28">
      <c r="A28" s="5">
        <f>IFERROR(__xludf.DUMMYFUNCTION("""COMPUTED_VALUE"""),27.0)</f>
        <v>27</v>
      </c>
      <c r="B28" s="6" t="str">
        <f>IFERROR(__xludf.DUMMYFUNCTION("""COMPUTED_VALUE"""),"ANALISIS PENGARUH DESAIN PRODUK, CITRA MEREK, KUALITAS PRODUK, DAN HARGA TERHADAP KEPUTUSAN PEMBELIAN SEPATU BOLA VOLLEY MEREK ASICS DI SURAKARTA")</f>
        <v>ANALISIS PENGARUH DESAIN PRODUK, CITRA MEREK, KUALITAS PRODUK, DAN HARGA TERHADAP KEPUTUSAN PEMBELIAN SEPATU BOLA VOLLEY MEREK ASICS DI SURAKARTA</v>
      </c>
      <c r="C28" s="7">
        <f>IFERROR(__xludf.DUMMYFUNCTION("""COMPUTED_VALUE"""),2021.0)</f>
        <v>2021</v>
      </c>
      <c r="D28" s="8" t="str">
        <f>IFERROR(__xludf.DUMMYFUNCTION("""COMPUTED_VALUE"""),"2021/2022")</f>
        <v>2021/2022</v>
      </c>
      <c r="E28" s="9">
        <f>IFERROR(__xludf.DUMMYFUNCTION("""COMPUTED_VALUE"""),44559.0)</f>
        <v>44559</v>
      </c>
      <c r="F28" s="5" t="str">
        <f>IFERROR(__xludf.DUMMYFUNCTION("""COMPUTED_VALUE"""),"Ganjil")</f>
        <v>Ganjil</v>
      </c>
      <c r="G28" s="5" t="str">
        <f>IFERROR(__xludf.DUMMYFUNCTION("""COMPUTED_VALUE"""),"Manajemen")</f>
        <v>Manajemen</v>
      </c>
      <c r="H28" s="10" t="str">
        <f>IFERROR(__xludf.DUMMYFUNCTION("""COMPUTED_VALUE"""),"Mahasiswa")</f>
        <v>Mahasiswa</v>
      </c>
      <c r="I28" s="6" t="str">
        <f>IFERROR(__xludf.DUMMYFUNCTION("""COMPUTED_VALUE"""),"Alex Rudi Purnomo")</f>
        <v>Alex Rudi Purnomo</v>
      </c>
      <c r="J28" s="6" t="str">
        <f>IFERROR(__xludf.DUMMYFUNCTION("""COMPUTED_VALUE"""),"Christiawan Hendratmoko")</f>
        <v>Christiawan Hendratmoko</v>
      </c>
      <c r="K28" s="6"/>
      <c r="L28" s="6"/>
      <c r="M28" s="6"/>
      <c r="N28" s="6"/>
      <c r="O28" s="6"/>
      <c r="P28" s="10" t="str">
        <f>IFERROR(__xludf.DUMMYFUNCTION("""COMPUTED_VALUE"""),"Alex Rudi Purnomo,Christiawan Hendratmoko,,")</f>
        <v>Alex Rudi Purnomo,Christiawan Hendratmoko,,</v>
      </c>
      <c r="Q28" s="11" t="str">
        <f>IFERROR(__xludf.DUMMYFUNCTION("""COMPUTED_VALUE"""),"http://jurnal.unsil.ac.id/index.php/jem")</f>
        <v>http://jurnal.unsil.ac.id/index.php/jem</v>
      </c>
      <c r="R28" s="6"/>
    </row>
    <row r="29">
      <c r="A29" s="5">
        <f>IFERROR(__xludf.DUMMYFUNCTION("""COMPUTED_VALUE"""),28.0)</f>
        <v>28</v>
      </c>
      <c r="B29" s="6" t="str">
        <f>IFERROR(__xludf.DUMMYFUNCTION("""COMPUTED_VALUE"""),"Analisis Pengaruh Harga, Kualitas Produk, dan Inovasi Produk Terhadap Keputusan Pembelian Fremilt di Kota Klaten")</f>
        <v>Analisis Pengaruh Harga, Kualitas Produk, dan Inovasi Produk Terhadap Keputusan Pembelian Fremilt di Kota Klaten</v>
      </c>
      <c r="C29" s="7">
        <f>IFERROR(__xludf.DUMMYFUNCTION("""COMPUTED_VALUE"""),2021.0)</f>
        <v>2021</v>
      </c>
      <c r="D29" s="8" t="str">
        <f>IFERROR(__xludf.DUMMYFUNCTION("""COMPUTED_VALUE"""),"2021/2022")</f>
        <v>2021/2022</v>
      </c>
      <c r="E29" s="9">
        <f>IFERROR(__xludf.DUMMYFUNCTION("""COMPUTED_VALUE"""),44559.0)</f>
        <v>44559</v>
      </c>
      <c r="F29" s="5" t="str">
        <f>IFERROR(__xludf.DUMMYFUNCTION("""COMPUTED_VALUE"""),"Ganjil")</f>
        <v>Ganjil</v>
      </c>
      <c r="G29" s="5" t="str">
        <f>IFERROR(__xludf.DUMMYFUNCTION("""COMPUTED_VALUE"""),"Manajemen")</f>
        <v>Manajemen</v>
      </c>
      <c r="H29" s="10" t="str">
        <f>IFERROR(__xludf.DUMMYFUNCTION("""COMPUTED_VALUE"""),"Mahasiswa")</f>
        <v>Mahasiswa</v>
      </c>
      <c r="I29" s="6" t="str">
        <f>IFERROR(__xludf.DUMMYFUNCTION("""COMPUTED_VALUE"""),"Octavia Nur Kusuma Putri")</f>
        <v>Octavia Nur Kusuma Putri</v>
      </c>
      <c r="J29" s="6" t="str">
        <f>IFERROR(__xludf.DUMMYFUNCTION("""COMPUTED_VALUE"""),"Andri Nurtantiono")</f>
        <v>Andri Nurtantiono</v>
      </c>
      <c r="K29" s="6"/>
      <c r="L29" s="6"/>
      <c r="M29" s="6"/>
      <c r="N29" s="6"/>
      <c r="O29" s="6"/>
      <c r="P29" s="10" t="str">
        <f>IFERROR(__xludf.DUMMYFUNCTION("""COMPUTED_VALUE"""),"Octavia Nur Kusuma Putri,Andri Nurtantiono,,")</f>
        <v>Octavia Nur Kusuma Putri,Andri Nurtantiono,,</v>
      </c>
      <c r="Q29" s="11" t="str">
        <f>IFERROR(__xludf.DUMMYFUNCTION("""COMPUTED_VALUE"""),"https://jurnal.stiesurakarta.ac.id/index.php/jebdeker/article/view/168")</f>
        <v>https://jurnal.stiesurakarta.ac.id/index.php/jebdeker/article/view/168</v>
      </c>
      <c r="R29" s="6"/>
    </row>
    <row r="30">
      <c r="A30" s="5">
        <f>IFERROR(__xludf.DUMMYFUNCTION("""COMPUTED_VALUE"""),29.0)</f>
        <v>29</v>
      </c>
      <c r="B30" s="6" t="str">
        <f>IFERROR(__xludf.DUMMYFUNCTION("""COMPUTED_VALUE"""),"ANALISIS PENGARUH KUALITAS PRODUK, HARGA DAN LAYANAN PURNA JUAL TERHADAP KEPUTUSAN PEMBELIAN HP IPHONE")</f>
        <v>ANALISIS PENGARUH KUALITAS PRODUK, HARGA DAN LAYANAN PURNA JUAL TERHADAP KEPUTUSAN PEMBELIAN HP IPHONE</v>
      </c>
      <c r="C30" s="7">
        <f>IFERROR(__xludf.DUMMYFUNCTION("""COMPUTED_VALUE"""),2021.0)</f>
        <v>2021</v>
      </c>
      <c r="D30" s="8" t="str">
        <f>IFERROR(__xludf.DUMMYFUNCTION("""COMPUTED_VALUE"""),"2021/2022")</f>
        <v>2021/2022</v>
      </c>
      <c r="E30" s="9">
        <f>IFERROR(__xludf.DUMMYFUNCTION("""COMPUTED_VALUE"""),44559.0)</f>
        <v>44559</v>
      </c>
      <c r="F30" s="5" t="str">
        <f>IFERROR(__xludf.DUMMYFUNCTION("""COMPUTED_VALUE"""),"Ganjil")</f>
        <v>Ganjil</v>
      </c>
      <c r="G30" s="5" t="str">
        <f>IFERROR(__xludf.DUMMYFUNCTION("""COMPUTED_VALUE"""),"Manajemen")</f>
        <v>Manajemen</v>
      </c>
      <c r="H30" s="10" t="str">
        <f>IFERROR(__xludf.DUMMYFUNCTION("""COMPUTED_VALUE"""),"Mahasiswa")</f>
        <v>Mahasiswa</v>
      </c>
      <c r="I30" s="6" t="str">
        <f>IFERROR(__xludf.DUMMYFUNCTION("""COMPUTED_VALUE"""),"Digas Dwinta Putra")</f>
        <v>Digas Dwinta Putra</v>
      </c>
      <c r="J30" s="6" t="str">
        <f>IFERROR(__xludf.DUMMYFUNCTION("""COMPUTED_VALUE"""),"Andri Nurtantiono")</f>
        <v>Andri Nurtantiono</v>
      </c>
      <c r="K30" s="6"/>
      <c r="L30" s="6"/>
      <c r="M30" s="6"/>
      <c r="N30" s="6"/>
      <c r="O30" s="6"/>
      <c r="P30" s="10" t="str">
        <f>IFERROR(__xludf.DUMMYFUNCTION("""COMPUTED_VALUE"""),"Digas Dwinta Putra,Andri Nurtantiono,,")</f>
        <v>Digas Dwinta Putra,Andri Nurtantiono,,</v>
      </c>
      <c r="Q30" s="11" t="str">
        <f>IFERROR(__xludf.DUMMYFUNCTION("""COMPUTED_VALUE"""),"https://jurnal.unigal.ac.id/bmej/article/view/4938")</f>
        <v>https://jurnal.unigal.ac.id/bmej/article/view/4938</v>
      </c>
      <c r="R30" s="6"/>
    </row>
    <row r="31">
      <c r="A31" s="5">
        <f>IFERROR(__xludf.DUMMYFUNCTION("""COMPUTED_VALUE"""),30.0)</f>
        <v>30</v>
      </c>
      <c r="B31" s="6" t="str">
        <f>IFERROR(__xludf.DUMMYFUNCTION("""COMPUTED_VALUE"""),"ANALISIS PENGARUH MEREK, PROMOSI, DAN KUALITAS LAYANAN TERHADAP KEPUTUSAN PEMBELIAN KARTU TELKOMSEL")</f>
        <v>ANALISIS PENGARUH MEREK, PROMOSI, DAN KUALITAS LAYANAN TERHADAP KEPUTUSAN PEMBELIAN KARTU TELKOMSEL</v>
      </c>
      <c r="C31" s="7">
        <f>IFERROR(__xludf.DUMMYFUNCTION("""COMPUTED_VALUE"""),2021.0)</f>
        <v>2021</v>
      </c>
      <c r="D31" s="8" t="str">
        <f>IFERROR(__xludf.DUMMYFUNCTION("""COMPUTED_VALUE"""),"2021/2022")</f>
        <v>2021/2022</v>
      </c>
      <c r="E31" s="9">
        <f>IFERROR(__xludf.DUMMYFUNCTION("""COMPUTED_VALUE"""),44559.0)</f>
        <v>44559</v>
      </c>
      <c r="F31" s="5" t="str">
        <f>IFERROR(__xludf.DUMMYFUNCTION("""COMPUTED_VALUE"""),"Ganjil")</f>
        <v>Ganjil</v>
      </c>
      <c r="G31" s="5" t="str">
        <f>IFERROR(__xludf.DUMMYFUNCTION("""COMPUTED_VALUE"""),"Manajemen")</f>
        <v>Manajemen</v>
      </c>
      <c r="H31" s="10" t="str">
        <f>IFERROR(__xludf.DUMMYFUNCTION("""COMPUTED_VALUE"""),"Mahasiswa")</f>
        <v>Mahasiswa</v>
      </c>
      <c r="I31" s="6" t="str">
        <f>IFERROR(__xludf.DUMMYFUNCTION("""COMPUTED_VALUE"""),"Eva Kumala Dewi")</f>
        <v>Eva Kumala Dewi</v>
      </c>
      <c r="J31" s="6" t="str">
        <f>IFERROR(__xludf.DUMMYFUNCTION("""COMPUTED_VALUE"""),"Utomo Wibisono")</f>
        <v>Utomo Wibisono</v>
      </c>
      <c r="K31" s="6"/>
      <c r="L31" s="6"/>
      <c r="M31" s="6"/>
      <c r="N31" s="6"/>
      <c r="O31" s="6"/>
      <c r="P31" s="10" t="str">
        <f>IFERROR(__xludf.DUMMYFUNCTION("""COMPUTED_VALUE"""),"Eva Kumala Dewi,Utomo Wibisono,,")</f>
        <v>Eva Kumala Dewi,Utomo Wibisono,,</v>
      </c>
      <c r="Q31" s="6"/>
      <c r="R31" s="6"/>
    </row>
    <row r="32">
      <c r="A32" s="5">
        <f>IFERROR(__xludf.DUMMYFUNCTION("""COMPUTED_VALUE"""),31.0)</f>
        <v>31</v>
      </c>
      <c r="B32" s="6" t="str">
        <f>IFERROR(__xludf.DUMMYFUNCTION("""COMPUTED_VALUE"""),"ANALISIS SERVICE QUALITY TERHADAP LOYALITAS PELANGGAN DENGAN KEPUASAN KONSUMEN SEBAGAI VARIABEL (Studi Empiris Pengguna Kartu Perdana Telkomsel Di Sukoharjo)")</f>
        <v>ANALISIS SERVICE QUALITY TERHADAP LOYALITAS PELANGGAN DENGAN KEPUASAN KONSUMEN SEBAGAI VARIABEL (Studi Empiris Pengguna Kartu Perdana Telkomsel Di Sukoharjo)</v>
      </c>
      <c r="C32" s="7">
        <f>IFERROR(__xludf.DUMMYFUNCTION("""COMPUTED_VALUE"""),2021.0)</f>
        <v>2021</v>
      </c>
      <c r="D32" s="8" t="str">
        <f>IFERROR(__xludf.DUMMYFUNCTION("""COMPUTED_VALUE"""),"2021/2022")</f>
        <v>2021/2022</v>
      </c>
      <c r="E32" s="9">
        <f>IFERROR(__xludf.DUMMYFUNCTION("""COMPUTED_VALUE"""),44559.0)</f>
        <v>44559</v>
      </c>
      <c r="F32" s="5" t="str">
        <f>IFERROR(__xludf.DUMMYFUNCTION("""COMPUTED_VALUE"""),"Ganjil")</f>
        <v>Ganjil</v>
      </c>
      <c r="G32" s="5" t="str">
        <f>IFERROR(__xludf.DUMMYFUNCTION("""COMPUTED_VALUE"""),"Manajemen")</f>
        <v>Manajemen</v>
      </c>
      <c r="H32" s="10" t="str">
        <f>IFERROR(__xludf.DUMMYFUNCTION("""COMPUTED_VALUE"""),"Mahasiswa")</f>
        <v>Mahasiswa</v>
      </c>
      <c r="I32" s="6" t="str">
        <f>IFERROR(__xludf.DUMMYFUNCTION("""COMPUTED_VALUE"""),"Luvi Anggraini")</f>
        <v>Luvi Anggraini</v>
      </c>
      <c r="J32" s="6" t="str">
        <f>IFERROR(__xludf.DUMMYFUNCTION("""COMPUTED_VALUE"""),"Muhammad Jalari")</f>
        <v>Muhammad Jalari</v>
      </c>
      <c r="K32" s="6"/>
      <c r="L32" s="6"/>
      <c r="M32" s="6"/>
      <c r="N32" s="6"/>
      <c r="O32" s="6"/>
      <c r="P32" s="10" t="str">
        <f>IFERROR(__xludf.DUMMYFUNCTION("""COMPUTED_VALUE"""),"Luvi Anggraini,Muhammad Jalari,,")</f>
        <v>Luvi Anggraini,Muhammad Jalari,,</v>
      </c>
      <c r="Q32" s="6"/>
      <c r="R32" s="6"/>
    </row>
    <row r="33">
      <c r="A33" s="5">
        <f>IFERROR(__xludf.DUMMYFUNCTION("""COMPUTED_VALUE"""),32.0)</f>
        <v>32</v>
      </c>
      <c r="B33" s="6" t="str">
        <f>IFERROR(__xludf.DUMMYFUNCTION("""COMPUTED_VALUE"""),"ANTESEDEN PRODUK TERHADAP BRAND TRUST DENGAN ERA DIGITAL SEBAGAI VARIABEL MODERITY")</f>
        <v>ANTESEDEN PRODUK TERHADAP BRAND TRUST DENGAN ERA DIGITAL SEBAGAI VARIABEL MODERITY</v>
      </c>
      <c r="C33" s="7">
        <f>IFERROR(__xludf.DUMMYFUNCTION("""COMPUTED_VALUE"""),2021.0)</f>
        <v>2021</v>
      </c>
      <c r="D33" s="8" t="str">
        <f>IFERROR(__xludf.DUMMYFUNCTION("""COMPUTED_VALUE"""),"2021/2022")</f>
        <v>2021/2022</v>
      </c>
      <c r="E33" s="9">
        <f>IFERROR(__xludf.DUMMYFUNCTION("""COMPUTED_VALUE"""),44559.0)</f>
        <v>44559</v>
      </c>
      <c r="F33" s="5" t="str">
        <f>IFERROR(__xludf.DUMMYFUNCTION("""COMPUTED_VALUE"""),"Ganjil")</f>
        <v>Ganjil</v>
      </c>
      <c r="G33" s="5" t="str">
        <f>IFERROR(__xludf.DUMMYFUNCTION("""COMPUTED_VALUE"""),"Manajemen")</f>
        <v>Manajemen</v>
      </c>
      <c r="H33" s="10" t="str">
        <f>IFERROR(__xludf.DUMMYFUNCTION("""COMPUTED_VALUE"""),"Mahasiswa")</f>
        <v>Mahasiswa</v>
      </c>
      <c r="I33" s="6" t="str">
        <f>IFERROR(__xludf.DUMMYFUNCTION("""COMPUTED_VALUE"""),"Jabir")</f>
        <v>Jabir</v>
      </c>
      <c r="J33" s="6" t="str">
        <f>IFERROR(__xludf.DUMMYFUNCTION("""COMPUTED_VALUE"""),"Muhammad Jalari")</f>
        <v>Muhammad Jalari</v>
      </c>
      <c r="K33" s="6"/>
      <c r="L33" s="6"/>
      <c r="M33" s="6"/>
      <c r="N33" s="6"/>
      <c r="O33" s="6"/>
      <c r="P33" s="10" t="str">
        <f>IFERROR(__xludf.DUMMYFUNCTION("""COMPUTED_VALUE"""),"Jabir,Muhammad Jalari,,")</f>
        <v>Jabir,Muhammad Jalari,,</v>
      </c>
      <c r="Q33" s="6"/>
      <c r="R33" s="6"/>
    </row>
    <row r="34">
      <c r="A34" s="5">
        <f>IFERROR(__xludf.DUMMYFUNCTION("""COMPUTED_VALUE"""),33.0)</f>
        <v>33</v>
      </c>
      <c r="B34" s="6" t="str">
        <f>IFERROR(__xludf.DUMMYFUNCTION("""COMPUTED_VALUE"""),"ANTESENDEN TERHADAP KEPUTUSAN PEMBELIAN SARI ROTI (Study Empiris Sales Promotion Girl Sari Roti di Klaten)")</f>
        <v>ANTESENDEN TERHADAP KEPUTUSAN PEMBELIAN SARI ROTI (Study Empiris Sales Promotion Girl Sari Roti di Klaten)</v>
      </c>
      <c r="C34" s="7">
        <f>IFERROR(__xludf.DUMMYFUNCTION("""COMPUTED_VALUE"""),2021.0)</f>
        <v>2021</v>
      </c>
      <c r="D34" s="8" t="str">
        <f>IFERROR(__xludf.DUMMYFUNCTION("""COMPUTED_VALUE"""),"2021/2022")</f>
        <v>2021/2022</v>
      </c>
      <c r="E34" s="9">
        <f>IFERROR(__xludf.DUMMYFUNCTION("""COMPUTED_VALUE"""),44559.0)</f>
        <v>44559</v>
      </c>
      <c r="F34" s="5" t="str">
        <f>IFERROR(__xludf.DUMMYFUNCTION("""COMPUTED_VALUE"""),"Ganjil")</f>
        <v>Ganjil</v>
      </c>
      <c r="G34" s="5" t="str">
        <f>IFERROR(__xludf.DUMMYFUNCTION("""COMPUTED_VALUE"""),"Manajemen")</f>
        <v>Manajemen</v>
      </c>
      <c r="H34" s="10" t="str">
        <f>IFERROR(__xludf.DUMMYFUNCTION("""COMPUTED_VALUE"""),"Mahasiswa")</f>
        <v>Mahasiswa</v>
      </c>
      <c r="I34" s="6" t="str">
        <f>IFERROR(__xludf.DUMMYFUNCTION("""COMPUTED_VALUE"""),"Bella Azmi")</f>
        <v>Bella Azmi</v>
      </c>
      <c r="J34" s="6" t="str">
        <f>IFERROR(__xludf.DUMMYFUNCTION("""COMPUTED_VALUE"""),"Muhammad Jalari")</f>
        <v>Muhammad Jalari</v>
      </c>
      <c r="K34" s="6"/>
      <c r="L34" s="6"/>
      <c r="M34" s="6"/>
      <c r="N34" s="6"/>
      <c r="O34" s="6"/>
      <c r="P34" s="10" t="str">
        <f>IFERROR(__xludf.DUMMYFUNCTION("""COMPUTED_VALUE"""),"Bella Azmi,Muhammad Jalari,,")</f>
        <v>Bella Azmi,Muhammad Jalari,,</v>
      </c>
      <c r="Q34" s="11" t="str">
        <f>IFERROR(__xludf.DUMMYFUNCTION("""COMPUTED_VALUE"""),"https://jurnal.stiesurakarta.ac.id/index.php/jebdeker")</f>
        <v>https://jurnal.stiesurakarta.ac.id/index.php/jebdeker</v>
      </c>
      <c r="R34" s="6"/>
    </row>
    <row r="35">
      <c r="A35" s="5">
        <f>IFERROR(__xludf.DUMMYFUNCTION("""COMPUTED_VALUE"""),34.0)</f>
        <v>34</v>
      </c>
      <c r="B35" s="6" t="str">
        <f>IFERROR(__xludf.DUMMYFUNCTION("""COMPUTED_VALUE"""),"ANTISENDEN KUALITAS TERHADAP KUANTITAS HASIL PRODUKSI HARDCOVER DI PT. SOLO MURNI")</f>
        <v>ANTISENDEN KUALITAS TERHADAP KUANTITAS HASIL PRODUKSI HARDCOVER DI PT. SOLO MURNI</v>
      </c>
      <c r="C35" s="7">
        <f>IFERROR(__xludf.DUMMYFUNCTION("""COMPUTED_VALUE"""),2021.0)</f>
        <v>2021</v>
      </c>
      <c r="D35" s="8" t="str">
        <f>IFERROR(__xludf.DUMMYFUNCTION("""COMPUTED_VALUE"""),"2021/2022")</f>
        <v>2021/2022</v>
      </c>
      <c r="E35" s="9">
        <f>IFERROR(__xludf.DUMMYFUNCTION("""COMPUTED_VALUE"""),44559.0)</f>
        <v>44559</v>
      </c>
      <c r="F35" s="5" t="str">
        <f>IFERROR(__xludf.DUMMYFUNCTION("""COMPUTED_VALUE"""),"Ganjil")</f>
        <v>Ganjil</v>
      </c>
      <c r="G35" s="5" t="str">
        <f>IFERROR(__xludf.DUMMYFUNCTION("""COMPUTED_VALUE"""),"Manajemen")</f>
        <v>Manajemen</v>
      </c>
      <c r="H35" s="10" t="str">
        <f>IFERROR(__xludf.DUMMYFUNCTION("""COMPUTED_VALUE"""),"Mahasiswa")</f>
        <v>Mahasiswa</v>
      </c>
      <c r="I35" s="6" t="str">
        <f>IFERROR(__xludf.DUMMYFUNCTION("""COMPUTED_VALUE"""),"Novia Nilawati")</f>
        <v>Novia Nilawati</v>
      </c>
      <c r="J35" s="6" t="str">
        <f>IFERROR(__xludf.DUMMYFUNCTION("""COMPUTED_VALUE"""),"Muhammad Jalari")</f>
        <v>Muhammad Jalari</v>
      </c>
      <c r="K35" s="6"/>
      <c r="L35" s="6"/>
      <c r="M35" s="6"/>
      <c r="N35" s="6"/>
      <c r="O35" s="6"/>
      <c r="P35" s="10" t="str">
        <f>IFERROR(__xludf.DUMMYFUNCTION("""COMPUTED_VALUE"""),"Novia Nilawati,Muhammad Jalari,,")</f>
        <v>Novia Nilawati,Muhammad Jalari,,</v>
      </c>
      <c r="Q35" s="6"/>
      <c r="R35" s="6"/>
    </row>
    <row r="36">
      <c r="A36" s="5">
        <f>IFERROR(__xludf.DUMMYFUNCTION("""COMPUTED_VALUE"""),35.0)</f>
        <v>35</v>
      </c>
      <c r="B36" s="6" t="str">
        <f>IFERROR(__xludf.DUMMYFUNCTION("""COMPUTED_VALUE"""),"BRAND IMAGE, GAYA HIDUP, KUALITAS PRODUK MEMPENGARUHI KEPUTUSAN PEMBELIAN KONSUMEN SOLO KOPI")</f>
        <v>BRAND IMAGE, GAYA HIDUP, KUALITAS PRODUK MEMPENGARUHI KEPUTUSAN PEMBELIAN KONSUMEN SOLO KOPI</v>
      </c>
      <c r="C36" s="7">
        <f>IFERROR(__xludf.DUMMYFUNCTION("""COMPUTED_VALUE"""),2021.0)</f>
        <v>2021</v>
      </c>
      <c r="D36" s="8" t="str">
        <f>IFERROR(__xludf.DUMMYFUNCTION("""COMPUTED_VALUE"""),"2021/2022")</f>
        <v>2021/2022</v>
      </c>
      <c r="E36" s="9">
        <f>IFERROR(__xludf.DUMMYFUNCTION("""COMPUTED_VALUE"""),44559.0)</f>
        <v>44559</v>
      </c>
      <c r="F36" s="5" t="str">
        <f>IFERROR(__xludf.DUMMYFUNCTION("""COMPUTED_VALUE"""),"Ganjil")</f>
        <v>Ganjil</v>
      </c>
      <c r="G36" s="5" t="str">
        <f>IFERROR(__xludf.DUMMYFUNCTION("""COMPUTED_VALUE"""),"Manajemen")</f>
        <v>Manajemen</v>
      </c>
      <c r="H36" s="10" t="str">
        <f>IFERROR(__xludf.DUMMYFUNCTION("""COMPUTED_VALUE"""),"Mahasiswa")</f>
        <v>Mahasiswa</v>
      </c>
      <c r="I36" s="6" t="str">
        <f>IFERROR(__xludf.DUMMYFUNCTION("""COMPUTED_VALUE"""),"Sherie Lia Mahesa")</f>
        <v>Sherie Lia Mahesa</v>
      </c>
      <c r="J36" s="6" t="str">
        <f>IFERROR(__xludf.DUMMYFUNCTION("""COMPUTED_VALUE"""),"Budi Istiyanto")</f>
        <v>Budi Istiyanto</v>
      </c>
      <c r="K36" s="6"/>
      <c r="L36" s="6"/>
      <c r="M36" s="6"/>
      <c r="N36" s="6"/>
      <c r="O36" s="6"/>
      <c r="P36" s="10" t="str">
        <f>IFERROR(__xludf.DUMMYFUNCTION("""COMPUTED_VALUE"""),"Sherie Lia Mahesa,Budi Istiyanto,,")</f>
        <v>Sherie Lia Mahesa,Budi Istiyanto,,</v>
      </c>
      <c r="Q36" s="11" t="str">
        <f>IFERROR(__xludf.DUMMYFUNCTION("""COMPUTED_VALUE"""),"http://jurnal.unsil.ac.id/index.php/jem/author/submission/2937")</f>
        <v>http://jurnal.unsil.ac.id/index.php/jem/author/submission/2937</v>
      </c>
      <c r="R36" s="6"/>
    </row>
    <row r="37">
      <c r="A37" s="5">
        <f>IFERROR(__xludf.DUMMYFUNCTION("""COMPUTED_VALUE"""),36.0)</f>
        <v>36</v>
      </c>
      <c r="B37" s="6" t="str">
        <f>IFERROR(__xludf.DUMMYFUNCTION("""COMPUTED_VALUE"""),"Factor Determination of Online Purchasing Decision on Indonesia Marketplace")</f>
        <v>Factor Determination of Online Purchasing Decision on Indonesia Marketplace</v>
      </c>
      <c r="C37" s="7">
        <f>IFERROR(__xludf.DUMMYFUNCTION("""COMPUTED_VALUE"""),2021.0)</f>
        <v>2021</v>
      </c>
      <c r="D37" s="8" t="str">
        <f>IFERROR(__xludf.DUMMYFUNCTION("""COMPUTED_VALUE"""),"2021/2022")</f>
        <v>2021/2022</v>
      </c>
      <c r="E37" s="9">
        <f>IFERROR(__xludf.DUMMYFUNCTION("""COMPUTED_VALUE"""),44559.0)</f>
        <v>44559</v>
      </c>
      <c r="F37" s="5" t="str">
        <f>IFERROR(__xludf.DUMMYFUNCTION("""COMPUTED_VALUE"""),"Ganjil")</f>
        <v>Ganjil</v>
      </c>
      <c r="G37" s="5" t="str">
        <f>IFERROR(__xludf.DUMMYFUNCTION("""COMPUTED_VALUE"""),"Manajemen")</f>
        <v>Manajemen</v>
      </c>
      <c r="H37" s="10" t="str">
        <f>IFERROR(__xludf.DUMMYFUNCTION("""COMPUTED_VALUE"""),"Mahasiswa")</f>
        <v>Mahasiswa</v>
      </c>
      <c r="I37" s="6" t="str">
        <f>IFERROR(__xludf.DUMMYFUNCTION("""COMPUTED_VALUE"""),"Rusti Kurniawati")</f>
        <v>Rusti Kurniawati</v>
      </c>
      <c r="J37" s="6" t="str">
        <f>IFERROR(__xludf.DUMMYFUNCTION("""COMPUTED_VALUE"""),"Ginanjar Rahmawan")</f>
        <v>Ginanjar Rahmawan</v>
      </c>
      <c r="K37" s="6"/>
      <c r="L37" s="6"/>
      <c r="M37" s="6"/>
      <c r="N37" s="6"/>
      <c r="O37" s="6"/>
      <c r="P37" s="10" t="str">
        <f>IFERROR(__xludf.DUMMYFUNCTION("""COMPUTED_VALUE"""),"Rusti Kurniawati,Ginanjar Rahmawan,,")</f>
        <v>Rusti Kurniawati,Ginanjar Rahmawan,,</v>
      </c>
      <c r="Q37" s="11" t="str">
        <f>IFERROR(__xludf.DUMMYFUNCTION("""COMPUTED_VALUE"""),"https://e-journal.stiekusumanegara.ac.id/index.php/jrbee/article/view/202")</f>
        <v>https://e-journal.stiekusumanegara.ac.id/index.php/jrbee/article/view/202</v>
      </c>
      <c r="R37" s="6"/>
    </row>
    <row r="38">
      <c r="A38" s="5">
        <f>IFERROR(__xludf.DUMMYFUNCTION("""COMPUTED_VALUE"""),37.0)</f>
        <v>37</v>
      </c>
      <c r="B38" s="6" t="str">
        <f>IFERROR(__xludf.DUMMYFUNCTION("""COMPUTED_VALUE"""),"FAKTOR – FAKTOR YANG MEMPENGARUHI KONSUMEN UNTUK MELAKUKAN PEMBELIAN PERUMAHAN SUBSIDI DI SUKOHARJO")</f>
        <v>FAKTOR – FAKTOR YANG MEMPENGARUHI KONSUMEN UNTUK MELAKUKAN PEMBELIAN PERUMAHAN SUBSIDI DI SUKOHARJO</v>
      </c>
      <c r="C38" s="7">
        <f>IFERROR(__xludf.DUMMYFUNCTION("""COMPUTED_VALUE"""),2021.0)</f>
        <v>2021</v>
      </c>
      <c r="D38" s="8" t="str">
        <f>IFERROR(__xludf.DUMMYFUNCTION("""COMPUTED_VALUE"""),"2021/2022")</f>
        <v>2021/2022</v>
      </c>
      <c r="E38" s="9">
        <f>IFERROR(__xludf.DUMMYFUNCTION("""COMPUTED_VALUE"""),44559.0)</f>
        <v>44559</v>
      </c>
      <c r="F38" s="5" t="str">
        <f>IFERROR(__xludf.DUMMYFUNCTION("""COMPUTED_VALUE"""),"Ganjil")</f>
        <v>Ganjil</v>
      </c>
      <c r="G38" s="5" t="str">
        <f>IFERROR(__xludf.DUMMYFUNCTION("""COMPUTED_VALUE"""),"Manajemen")</f>
        <v>Manajemen</v>
      </c>
      <c r="H38" s="10" t="str">
        <f>IFERROR(__xludf.DUMMYFUNCTION("""COMPUTED_VALUE"""),"Mahasiswa")</f>
        <v>Mahasiswa</v>
      </c>
      <c r="I38" s="6" t="str">
        <f>IFERROR(__xludf.DUMMYFUNCTION("""COMPUTED_VALUE"""),"Suci Roma Wati")</f>
        <v>Suci Roma Wati</v>
      </c>
      <c r="J38" s="6" t="str">
        <f>IFERROR(__xludf.DUMMYFUNCTION("""COMPUTED_VALUE"""),"Hestin")</f>
        <v>Hestin</v>
      </c>
      <c r="K38" s="6"/>
      <c r="L38" s="6"/>
      <c r="M38" s="6"/>
      <c r="N38" s="6"/>
      <c r="O38" s="6"/>
      <c r="P38" s="10" t="str">
        <f>IFERROR(__xludf.DUMMYFUNCTION("""COMPUTED_VALUE"""),"Suci Roma Wati,Hestin,,")</f>
        <v>Suci Roma Wati,Hestin,,</v>
      </c>
      <c r="Q38" s="11" t="str">
        <f>IFERROR(__xludf.DUMMYFUNCTION("""COMPUTED_VALUE"""),"https://www.neliti.com/id/publications/454627/faktor-faktor-yang-mempengaruhi-konsumen-untuk-melakukan-pembelian-perumahan-sub")</f>
        <v>https://www.neliti.com/id/publications/454627/faktor-faktor-yang-mempengaruhi-konsumen-untuk-melakukan-pembelian-perumahan-sub</v>
      </c>
      <c r="R38" s="6"/>
    </row>
    <row r="39">
      <c r="A39" s="5">
        <f>IFERROR(__xludf.DUMMYFUNCTION("""COMPUTED_VALUE"""),38.0)</f>
        <v>38</v>
      </c>
      <c r="B39" s="6" t="str">
        <f>IFERROR(__xludf.DUMMYFUNCTION("""COMPUTED_VALUE"""),"FAKTOR – FAKTOR YANG MEMPENGARUHI LITERASI KEUANGAN DI MASA PANDEMI")</f>
        <v>FAKTOR – FAKTOR YANG MEMPENGARUHI LITERASI KEUANGAN DI MASA PANDEMI</v>
      </c>
      <c r="C39" s="7">
        <f>IFERROR(__xludf.DUMMYFUNCTION("""COMPUTED_VALUE"""),2021.0)</f>
        <v>2021</v>
      </c>
      <c r="D39" s="8" t="str">
        <f>IFERROR(__xludf.DUMMYFUNCTION("""COMPUTED_VALUE"""),"2021/2022")</f>
        <v>2021/2022</v>
      </c>
      <c r="E39" s="9">
        <f>IFERROR(__xludf.DUMMYFUNCTION("""COMPUTED_VALUE"""),44559.0)</f>
        <v>44559</v>
      </c>
      <c r="F39" s="5" t="str">
        <f>IFERROR(__xludf.DUMMYFUNCTION("""COMPUTED_VALUE"""),"Ganjil")</f>
        <v>Ganjil</v>
      </c>
      <c r="G39" s="5" t="str">
        <f>IFERROR(__xludf.DUMMYFUNCTION("""COMPUTED_VALUE"""),"Manajemen")</f>
        <v>Manajemen</v>
      </c>
      <c r="H39" s="10" t="str">
        <f>IFERROR(__xludf.DUMMYFUNCTION("""COMPUTED_VALUE"""),"Mahasiswa")</f>
        <v>Mahasiswa</v>
      </c>
      <c r="I39" s="6" t="str">
        <f>IFERROR(__xludf.DUMMYFUNCTION("""COMPUTED_VALUE"""),"Gizka Arsita")</f>
        <v>Gizka Arsita</v>
      </c>
      <c r="J39" s="6" t="str">
        <f>IFERROR(__xludf.DUMMYFUNCTION("""COMPUTED_VALUE"""),"Ari Susanti")</f>
        <v>Ari Susanti</v>
      </c>
      <c r="K39" s="6"/>
      <c r="L39" s="6"/>
      <c r="M39" s="6"/>
      <c r="N39" s="6"/>
      <c r="O39" s="6"/>
      <c r="P39" s="10" t="str">
        <f>IFERROR(__xludf.DUMMYFUNCTION("""COMPUTED_VALUE"""),"Gizka Arsita,Ari Susanti,,")</f>
        <v>Gizka Arsita,Ari Susanti,,</v>
      </c>
      <c r="Q39" s="6"/>
      <c r="R39" s="6"/>
    </row>
    <row r="40">
      <c r="A40" s="5">
        <f>IFERROR(__xludf.DUMMYFUNCTION("""COMPUTED_VALUE"""),39.0)</f>
        <v>39</v>
      </c>
      <c r="B40" s="6" t="str">
        <f>IFERROR(__xludf.DUMMYFUNCTION("""COMPUTED_VALUE"""),"FAKTOR FAKTOR PЕNGARUH TURNOVЕR INTЕNTION (Studí Kasus Pada Pеrbankan dí Jawa Tеngah dan Daеrah Istímеwa Yogyakarta)")</f>
        <v>FAKTOR FAKTOR PЕNGARUH TURNOVЕR INTЕNTION (Studí Kasus Pada Pеrbankan dí Jawa Tеngah dan Daеrah Istímеwa Yogyakarta)</v>
      </c>
      <c r="C40" s="7">
        <f>IFERROR(__xludf.DUMMYFUNCTION("""COMPUTED_VALUE"""),2021.0)</f>
        <v>2021</v>
      </c>
      <c r="D40" s="8" t="str">
        <f>IFERROR(__xludf.DUMMYFUNCTION("""COMPUTED_VALUE"""),"2021/2022")</f>
        <v>2021/2022</v>
      </c>
      <c r="E40" s="9">
        <f>IFERROR(__xludf.DUMMYFUNCTION("""COMPUTED_VALUE"""),44559.0)</f>
        <v>44559</v>
      </c>
      <c r="F40" s="5" t="str">
        <f>IFERROR(__xludf.DUMMYFUNCTION("""COMPUTED_VALUE"""),"Ganjil")</f>
        <v>Ganjil</v>
      </c>
      <c r="G40" s="5" t="str">
        <f>IFERROR(__xludf.DUMMYFUNCTION("""COMPUTED_VALUE"""),"Manajemen")</f>
        <v>Manajemen</v>
      </c>
      <c r="H40" s="10" t="str">
        <f>IFERROR(__xludf.DUMMYFUNCTION("""COMPUTED_VALUE"""),"Mahasiswa")</f>
        <v>Mahasiswa</v>
      </c>
      <c r="I40" s="6" t="str">
        <f>IFERROR(__xludf.DUMMYFUNCTION("""COMPUTED_VALUE"""),"Jaya Rantau Samudra")</f>
        <v>Jaya Rantau Samudra</v>
      </c>
      <c r="J40" s="6" t="str">
        <f>IFERROR(__xludf.DUMMYFUNCTION("""COMPUTED_VALUE"""),"Ida Ayu Kade")</f>
        <v>Ida Ayu Kade</v>
      </c>
      <c r="K40" s="6"/>
      <c r="L40" s="6"/>
      <c r="M40" s="6"/>
      <c r="N40" s="6"/>
      <c r="O40" s="6"/>
      <c r="P40" s="10" t="str">
        <f>IFERROR(__xludf.DUMMYFUNCTION("""COMPUTED_VALUE"""),"Jaya Rantau Samudra,Ida Ayu Kade,,")</f>
        <v>Jaya Rantau Samudra,Ida Ayu Kade,,</v>
      </c>
      <c r="Q40" s="6"/>
      <c r="R40" s="6"/>
    </row>
    <row r="41">
      <c r="A41" s="5">
        <f>IFERROR(__xludf.DUMMYFUNCTION("""COMPUTED_VALUE"""),40.0)</f>
        <v>40</v>
      </c>
      <c r="B41" s="6" t="str">
        <f>IFERROR(__xludf.DUMMYFUNCTION("""COMPUTED_VALUE"""),"FAKTOR-FAKTOR YANG MEMPENGARUHI KEPUTUSAN PEMBELIAN TERHADAP PRODUK MINUMAN RACHACHA THAI TEA")</f>
        <v>FAKTOR-FAKTOR YANG MEMPENGARUHI KEPUTUSAN PEMBELIAN TERHADAP PRODUK MINUMAN RACHACHA THAI TEA</v>
      </c>
      <c r="C41" s="7">
        <f>IFERROR(__xludf.DUMMYFUNCTION("""COMPUTED_VALUE"""),2021.0)</f>
        <v>2021</v>
      </c>
      <c r="D41" s="8" t="str">
        <f>IFERROR(__xludf.DUMMYFUNCTION("""COMPUTED_VALUE"""),"2021/2022")</f>
        <v>2021/2022</v>
      </c>
      <c r="E41" s="9">
        <f>IFERROR(__xludf.DUMMYFUNCTION("""COMPUTED_VALUE"""),44559.0)</f>
        <v>44559</v>
      </c>
      <c r="F41" s="5" t="str">
        <f>IFERROR(__xludf.DUMMYFUNCTION("""COMPUTED_VALUE"""),"Ganjil")</f>
        <v>Ganjil</v>
      </c>
      <c r="G41" s="5" t="str">
        <f>IFERROR(__xludf.DUMMYFUNCTION("""COMPUTED_VALUE"""),"Manajemen")</f>
        <v>Manajemen</v>
      </c>
      <c r="H41" s="10" t="str">
        <f>IFERROR(__xludf.DUMMYFUNCTION("""COMPUTED_VALUE"""),"Mahasiswa")</f>
        <v>Mahasiswa</v>
      </c>
      <c r="I41" s="6" t="str">
        <f>IFERROR(__xludf.DUMMYFUNCTION("""COMPUTED_VALUE"""),"Nomia Afifah H")</f>
        <v>Nomia Afifah H</v>
      </c>
      <c r="J41" s="6" t="str">
        <f>IFERROR(__xludf.DUMMYFUNCTION("""COMPUTED_VALUE"""),"Hestin")</f>
        <v>Hestin</v>
      </c>
      <c r="K41" s="6"/>
      <c r="L41" s="6"/>
      <c r="M41" s="6"/>
      <c r="N41" s="6"/>
      <c r="O41" s="6"/>
      <c r="P41" s="10" t="str">
        <f>IFERROR(__xludf.DUMMYFUNCTION("""COMPUTED_VALUE"""),"Nomia Afifah H,Hestin,,")</f>
        <v>Nomia Afifah H,Hestin,,</v>
      </c>
      <c r="Q41" s="6"/>
      <c r="R41" s="6"/>
    </row>
    <row r="42">
      <c r="A42" s="5">
        <f>IFERROR(__xludf.DUMMYFUNCTION("""COMPUTED_VALUE"""),41.0)</f>
        <v>41</v>
      </c>
      <c r="B42" s="6" t="str">
        <f>IFERROR(__xludf.DUMMYFUNCTION("""COMPUTED_VALUE"""),"FAKTOR-FAKTOR YANG MEMPENGARUHI MINAT PENGGUNAAN APLIKASI E-COMMERCE SHOPEE")</f>
        <v>FAKTOR-FAKTOR YANG MEMPENGARUHI MINAT PENGGUNAAN APLIKASI E-COMMERCE SHOPEE</v>
      </c>
      <c r="C42" s="7">
        <f>IFERROR(__xludf.DUMMYFUNCTION("""COMPUTED_VALUE"""),2021.0)</f>
        <v>2021</v>
      </c>
      <c r="D42" s="8" t="str">
        <f>IFERROR(__xludf.DUMMYFUNCTION("""COMPUTED_VALUE"""),"2021/2022")</f>
        <v>2021/2022</v>
      </c>
      <c r="E42" s="9">
        <f>IFERROR(__xludf.DUMMYFUNCTION("""COMPUTED_VALUE"""),44559.0)</f>
        <v>44559</v>
      </c>
      <c r="F42" s="5" t="str">
        <f>IFERROR(__xludf.DUMMYFUNCTION("""COMPUTED_VALUE"""),"Ganjil")</f>
        <v>Ganjil</v>
      </c>
      <c r="G42" s="5" t="str">
        <f>IFERROR(__xludf.DUMMYFUNCTION("""COMPUTED_VALUE"""),"Manajemen")</f>
        <v>Manajemen</v>
      </c>
      <c r="H42" s="10" t="str">
        <f>IFERROR(__xludf.DUMMYFUNCTION("""COMPUTED_VALUE"""),"Mahasiswa")</f>
        <v>Mahasiswa</v>
      </c>
      <c r="I42" s="6" t="str">
        <f>IFERROR(__xludf.DUMMYFUNCTION("""COMPUTED_VALUE"""),"Evita Aprilia Maharani")</f>
        <v>Evita Aprilia Maharani</v>
      </c>
      <c r="J42" s="6" t="str">
        <f>IFERROR(__xludf.DUMMYFUNCTION("""COMPUTED_VALUE"""),"Hestin")</f>
        <v>Hestin</v>
      </c>
      <c r="K42" s="6"/>
      <c r="L42" s="6"/>
      <c r="M42" s="6"/>
      <c r="N42" s="6"/>
      <c r="O42" s="6"/>
      <c r="P42" s="10" t="str">
        <f>IFERROR(__xludf.DUMMYFUNCTION("""COMPUTED_VALUE"""),"Evita Aprilia Maharani,Hestin,,")</f>
        <v>Evita Aprilia Maharani,Hestin,,</v>
      </c>
      <c r="Q42" s="6"/>
      <c r="R42" s="6"/>
    </row>
    <row r="43">
      <c r="A43" s="5">
        <f>IFERROR(__xludf.DUMMYFUNCTION("""COMPUTED_VALUE"""),42.0)</f>
        <v>42</v>
      </c>
      <c r="B43" s="6" t="str">
        <f>IFERROR(__xludf.DUMMYFUNCTION("""COMPUTED_VALUE"""),"Menguji Brand Image, Kualitas Pelayanan, Harga, dan Kepercayaan terhadap Loyalitas Pelanggan di Waroeng 32")</f>
        <v>Menguji Brand Image, Kualitas Pelayanan, Harga, dan Kepercayaan terhadap Loyalitas Pelanggan di Waroeng 32</v>
      </c>
      <c r="C43" s="7">
        <f>IFERROR(__xludf.DUMMYFUNCTION("""COMPUTED_VALUE"""),2021.0)</f>
        <v>2021</v>
      </c>
      <c r="D43" s="8" t="str">
        <f>IFERROR(__xludf.DUMMYFUNCTION("""COMPUTED_VALUE"""),"2021/2022")</f>
        <v>2021/2022</v>
      </c>
      <c r="E43" s="9">
        <f>IFERROR(__xludf.DUMMYFUNCTION("""COMPUTED_VALUE"""),44559.0)</f>
        <v>44559</v>
      </c>
      <c r="F43" s="5" t="str">
        <f>IFERROR(__xludf.DUMMYFUNCTION("""COMPUTED_VALUE"""),"Ganjil")</f>
        <v>Ganjil</v>
      </c>
      <c r="G43" s="5" t="str">
        <f>IFERROR(__xludf.DUMMYFUNCTION("""COMPUTED_VALUE"""),"Manajemen")</f>
        <v>Manajemen</v>
      </c>
      <c r="H43" s="10" t="str">
        <f>IFERROR(__xludf.DUMMYFUNCTION("""COMPUTED_VALUE"""),"Mahasiswa")</f>
        <v>Mahasiswa</v>
      </c>
      <c r="I43" s="6" t="str">
        <f>IFERROR(__xludf.DUMMYFUNCTION("""COMPUTED_VALUE"""),"Alivian Ferdi Nugroho")</f>
        <v>Alivian Ferdi Nugroho</v>
      </c>
      <c r="J43" s="6" t="str">
        <f>IFERROR(__xludf.DUMMYFUNCTION("""COMPUTED_VALUE"""),"Andri Nurtantiono")</f>
        <v>Andri Nurtantiono</v>
      </c>
      <c r="K43" s="6"/>
      <c r="L43" s="6"/>
      <c r="M43" s="6"/>
      <c r="N43" s="6"/>
      <c r="O43" s="6"/>
      <c r="P43" s="10" t="str">
        <f>IFERROR(__xludf.DUMMYFUNCTION("""COMPUTED_VALUE"""),"Alivian Ferdi Nugroho,Andri Nurtantiono,,")</f>
        <v>Alivian Ferdi Nugroho,Andri Nurtantiono,,</v>
      </c>
      <c r="Q43" s="6"/>
      <c r="R43" s="6"/>
    </row>
    <row r="44">
      <c r="A44" s="5">
        <f>IFERROR(__xludf.DUMMYFUNCTION("""COMPUTED_VALUE"""),43.0)</f>
        <v>43</v>
      </c>
      <c r="B44" s="6" t="str">
        <f>IFERROR(__xludf.DUMMYFUNCTION("""COMPUTED_VALUE"""),"MENGUJI DESAIN PEMASARAN TERHADAP KEPUTUSAN PEMBELIAN PROVIDER TELKOMSEL” (STUDI EMPIRIS KONSUMEN DI KOTA SOLO")</f>
        <v>MENGUJI DESAIN PEMASARAN TERHADAP KEPUTUSAN PEMBELIAN PROVIDER TELKOMSEL” (STUDI EMPIRIS KONSUMEN DI KOTA SOLO</v>
      </c>
      <c r="C44" s="7">
        <f>IFERROR(__xludf.DUMMYFUNCTION("""COMPUTED_VALUE"""),2021.0)</f>
        <v>2021</v>
      </c>
      <c r="D44" s="8" t="str">
        <f>IFERROR(__xludf.DUMMYFUNCTION("""COMPUTED_VALUE"""),"2021/2022")</f>
        <v>2021/2022</v>
      </c>
      <c r="E44" s="9">
        <f>IFERROR(__xludf.DUMMYFUNCTION("""COMPUTED_VALUE"""),44559.0)</f>
        <v>44559</v>
      </c>
      <c r="F44" s="5" t="str">
        <f>IFERROR(__xludf.DUMMYFUNCTION("""COMPUTED_VALUE"""),"Ganjil")</f>
        <v>Ganjil</v>
      </c>
      <c r="G44" s="5" t="str">
        <f>IFERROR(__xludf.DUMMYFUNCTION("""COMPUTED_VALUE"""),"Manajemen")</f>
        <v>Manajemen</v>
      </c>
      <c r="H44" s="10" t="str">
        <f>IFERROR(__xludf.DUMMYFUNCTION("""COMPUTED_VALUE"""),"Mahasiswa")</f>
        <v>Mahasiswa</v>
      </c>
      <c r="I44" s="6" t="str">
        <f>IFERROR(__xludf.DUMMYFUNCTION("""COMPUTED_VALUE"""),"Rifka Islamiati")</f>
        <v>Rifka Islamiati</v>
      </c>
      <c r="J44" s="6" t="str">
        <f>IFERROR(__xludf.DUMMYFUNCTION("""COMPUTED_VALUE"""),"Muhammad Jalari")</f>
        <v>Muhammad Jalari</v>
      </c>
      <c r="K44" s="6"/>
      <c r="L44" s="6"/>
      <c r="M44" s="6"/>
      <c r="N44" s="6"/>
      <c r="O44" s="6"/>
      <c r="P44" s="10" t="str">
        <f>IFERROR(__xludf.DUMMYFUNCTION("""COMPUTED_VALUE"""),"Rifka Islamiati,Muhammad Jalari,,")</f>
        <v>Rifka Islamiati,Muhammad Jalari,,</v>
      </c>
      <c r="Q44" s="11" t="str">
        <f>IFERROR(__xludf.DUMMYFUNCTION("""COMPUTED_VALUE"""),"https://journals.unihaz.ac.id/index.php/crmj/article/view/1849")</f>
        <v>https://journals.unihaz.ac.id/index.php/crmj/article/view/1849</v>
      </c>
      <c r="R44" s="6"/>
    </row>
    <row r="45">
      <c r="A45" s="5">
        <f>IFERROR(__xludf.DUMMYFUNCTION("""COMPUTED_VALUE"""),44.0)</f>
        <v>44</v>
      </c>
      <c r="B45" s="6" t="str">
        <f>IFERROR(__xludf.DUMMYFUNCTION("""COMPUTED_VALUE"""),"MENGUJI DESAIN PRODUK TERHADAP KEPUTUSAN PEMBELIAN SEPEDA POLYGON DI MASA PANDEMI COVID-19")</f>
        <v>MENGUJI DESAIN PRODUK TERHADAP KEPUTUSAN PEMBELIAN SEPEDA POLYGON DI MASA PANDEMI COVID-19</v>
      </c>
      <c r="C45" s="7">
        <f>IFERROR(__xludf.DUMMYFUNCTION("""COMPUTED_VALUE"""),2021.0)</f>
        <v>2021</v>
      </c>
      <c r="D45" s="8" t="str">
        <f>IFERROR(__xludf.DUMMYFUNCTION("""COMPUTED_VALUE"""),"2021/2022")</f>
        <v>2021/2022</v>
      </c>
      <c r="E45" s="9">
        <f>IFERROR(__xludf.DUMMYFUNCTION("""COMPUTED_VALUE"""),44559.0)</f>
        <v>44559</v>
      </c>
      <c r="F45" s="5" t="str">
        <f>IFERROR(__xludf.DUMMYFUNCTION("""COMPUTED_VALUE"""),"Ganjil")</f>
        <v>Ganjil</v>
      </c>
      <c r="G45" s="5" t="str">
        <f>IFERROR(__xludf.DUMMYFUNCTION("""COMPUTED_VALUE"""),"Manajemen")</f>
        <v>Manajemen</v>
      </c>
      <c r="H45" s="10" t="str">
        <f>IFERROR(__xludf.DUMMYFUNCTION("""COMPUTED_VALUE"""),"Mahasiswa")</f>
        <v>Mahasiswa</v>
      </c>
      <c r="I45" s="6" t="str">
        <f>IFERROR(__xludf.DUMMYFUNCTION("""COMPUTED_VALUE"""),"Katon Dewanto Surya Darma")</f>
        <v>Katon Dewanto Surya Darma</v>
      </c>
      <c r="J45" s="6" t="str">
        <f>IFERROR(__xludf.DUMMYFUNCTION("""COMPUTED_VALUE"""),"Muhammad Jalari")</f>
        <v>Muhammad Jalari</v>
      </c>
      <c r="K45" s="6"/>
      <c r="L45" s="6"/>
      <c r="M45" s="6"/>
      <c r="N45" s="6"/>
      <c r="O45" s="6"/>
      <c r="P45" s="10" t="str">
        <f>IFERROR(__xludf.DUMMYFUNCTION("""COMPUTED_VALUE"""),"Katon Dewanto Surya Darma,Muhammad Jalari,,")</f>
        <v>Katon Dewanto Surya Darma,Muhammad Jalari,,</v>
      </c>
      <c r="Q45" s="11" t="str">
        <f>IFERROR(__xludf.DUMMYFUNCTION("""COMPUTED_VALUE"""),"https://journal.uniku.ac.id/index.php/ijsm/article/view/4077/0")</f>
        <v>https://journal.uniku.ac.id/index.php/ijsm/article/view/4077/0</v>
      </c>
      <c r="R45" s="6"/>
    </row>
    <row r="46">
      <c r="A46" s="5">
        <f>IFERROR(__xludf.DUMMYFUNCTION("""COMPUTED_VALUE"""),45.0)</f>
        <v>45</v>
      </c>
      <c r="B46" s="6" t="str">
        <f>IFERROR(__xludf.DUMMYFUNCTION("""COMPUTED_VALUE"""),"MENGUJI MARKETING MIX7P TERHADAP KEPUTUSAN PEMBELIAN SHOPEE DI SUKOHARJO")</f>
        <v>MENGUJI MARKETING MIX7P TERHADAP KEPUTUSAN PEMBELIAN SHOPEE DI SUKOHARJO</v>
      </c>
      <c r="C46" s="7">
        <f>IFERROR(__xludf.DUMMYFUNCTION("""COMPUTED_VALUE"""),2021.0)</f>
        <v>2021</v>
      </c>
      <c r="D46" s="8" t="str">
        <f>IFERROR(__xludf.DUMMYFUNCTION("""COMPUTED_VALUE"""),"2021/2022")</f>
        <v>2021/2022</v>
      </c>
      <c r="E46" s="9">
        <f>IFERROR(__xludf.DUMMYFUNCTION("""COMPUTED_VALUE"""),44559.0)</f>
        <v>44559</v>
      </c>
      <c r="F46" s="5" t="str">
        <f>IFERROR(__xludf.DUMMYFUNCTION("""COMPUTED_VALUE"""),"Ganjil")</f>
        <v>Ganjil</v>
      </c>
      <c r="G46" s="5" t="str">
        <f>IFERROR(__xludf.DUMMYFUNCTION("""COMPUTED_VALUE"""),"Manajemen")</f>
        <v>Manajemen</v>
      </c>
      <c r="H46" s="10" t="str">
        <f>IFERROR(__xludf.DUMMYFUNCTION("""COMPUTED_VALUE"""),"Mahasiswa")</f>
        <v>Mahasiswa</v>
      </c>
      <c r="I46" s="6" t="str">
        <f>IFERROR(__xludf.DUMMYFUNCTION("""COMPUTED_VALUE"""),"Khusnul Khotimah")</f>
        <v>Khusnul Khotimah</v>
      </c>
      <c r="J46" s="6" t="str">
        <f>IFERROR(__xludf.DUMMYFUNCTION("""COMPUTED_VALUE"""),"Muhammad Jalari")</f>
        <v>Muhammad Jalari</v>
      </c>
      <c r="K46" s="6"/>
      <c r="L46" s="6"/>
      <c r="M46" s="6"/>
      <c r="N46" s="6"/>
      <c r="O46" s="6"/>
      <c r="P46" s="10" t="str">
        <f>IFERROR(__xludf.DUMMYFUNCTION("""COMPUTED_VALUE"""),"Khusnul Khotimah,Muhammad Jalari,,")</f>
        <v>Khusnul Khotimah,Muhammad Jalari,,</v>
      </c>
      <c r="Q46" s="11" t="str">
        <f>IFERROR(__xludf.DUMMYFUNCTION("""COMPUTED_VALUE"""),"https://maker.ac.id/index.php/maker/article/view/285")</f>
        <v>https://maker.ac.id/index.php/maker/article/view/285</v>
      </c>
      <c r="R46" s="6"/>
    </row>
    <row r="47">
      <c r="A47" s="5">
        <f>IFERROR(__xludf.DUMMYFUNCTION("""COMPUTED_VALUE"""),46.0)</f>
        <v>46</v>
      </c>
      <c r="B47" s="6" t="str">
        <f>IFERROR(__xludf.DUMMYFUNCTION("""COMPUTED_VALUE"""),"MENGUJI VIRAL MARKETING, STORE ATSMOSPHERE, DAN LOKASI TERHADAP KEPUTUSAN PEMBELIAN LOSKE COFFE SERVICE DI SURAKARTA")</f>
        <v>MENGUJI VIRAL MARKETING, STORE ATSMOSPHERE, DAN LOKASI TERHADAP KEPUTUSAN PEMBELIAN LOSKE COFFE SERVICE DI SURAKARTA</v>
      </c>
      <c r="C47" s="7">
        <f>IFERROR(__xludf.DUMMYFUNCTION("""COMPUTED_VALUE"""),2021.0)</f>
        <v>2021</v>
      </c>
      <c r="D47" s="8" t="str">
        <f>IFERROR(__xludf.DUMMYFUNCTION("""COMPUTED_VALUE"""),"2021/2022")</f>
        <v>2021/2022</v>
      </c>
      <c r="E47" s="9">
        <f>IFERROR(__xludf.DUMMYFUNCTION("""COMPUTED_VALUE"""),44559.0)</f>
        <v>44559</v>
      </c>
      <c r="F47" s="5" t="str">
        <f>IFERROR(__xludf.DUMMYFUNCTION("""COMPUTED_VALUE"""),"Ganjil")</f>
        <v>Ganjil</v>
      </c>
      <c r="G47" s="5" t="str">
        <f>IFERROR(__xludf.DUMMYFUNCTION("""COMPUTED_VALUE"""),"Manajemen")</f>
        <v>Manajemen</v>
      </c>
      <c r="H47" s="10" t="str">
        <f>IFERROR(__xludf.DUMMYFUNCTION("""COMPUTED_VALUE"""),"Mahasiswa")</f>
        <v>Mahasiswa</v>
      </c>
      <c r="I47" s="6" t="str">
        <f>IFERROR(__xludf.DUMMYFUNCTION("""COMPUTED_VALUE"""),"Kristian Adi Nugroho")</f>
        <v>Kristian Adi Nugroho</v>
      </c>
      <c r="J47" s="6" t="str">
        <f>IFERROR(__xludf.DUMMYFUNCTION("""COMPUTED_VALUE"""),"Ari Susanti")</f>
        <v>Ari Susanti</v>
      </c>
      <c r="K47" s="6"/>
      <c r="L47" s="6"/>
      <c r="M47" s="6"/>
      <c r="N47" s="6"/>
      <c r="O47" s="6"/>
      <c r="P47" s="10" t="str">
        <f>IFERROR(__xludf.DUMMYFUNCTION("""COMPUTED_VALUE"""),"Kristian Adi Nugroho,Ari Susanti,,")</f>
        <v>Kristian Adi Nugroho,Ari Susanti,,</v>
      </c>
      <c r="Q47" s="11" t="str">
        <f>IFERROR(__xludf.DUMMYFUNCTION("""COMPUTED_VALUE"""),"http://jurnal.unsil.ac.id/index.php/jem/index")</f>
        <v>http://jurnal.unsil.ac.id/index.php/jem/index</v>
      </c>
      <c r="R47" s="6"/>
    </row>
    <row r="48">
      <c r="A48" s="5">
        <f>IFERROR(__xludf.DUMMYFUNCTION("""COMPUTED_VALUE"""),47.0)</f>
        <v>47</v>
      </c>
      <c r="B48" s="6" t="str">
        <f>IFERROR(__xludf.DUMMYFUNCTION("""COMPUTED_VALUE"""),"MINAT BELI KONSUMEN DI INDOMARET DIPENGARUHI OLEH KUALITAS PELAYANAN, KUALITAS PRODUK DAN LOKASI")</f>
        <v>MINAT BELI KONSUMEN DI INDOMARET DIPENGARUHI OLEH KUALITAS PELAYANAN, KUALITAS PRODUK DAN LOKASI</v>
      </c>
      <c r="C48" s="7">
        <f>IFERROR(__xludf.DUMMYFUNCTION("""COMPUTED_VALUE"""),2021.0)</f>
        <v>2021</v>
      </c>
      <c r="D48" s="8" t="str">
        <f>IFERROR(__xludf.DUMMYFUNCTION("""COMPUTED_VALUE"""),"2021/2022")</f>
        <v>2021/2022</v>
      </c>
      <c r="E48" s="9">
        <f>IFERROR(__xludf.DUMMYFUNCTION("""COMPUTED_VALUE"""),44559.0)</f>
        <v>44559</v>
      </c>
      <c r="F48" s="5" t="str">
        <f>IFERROR(__xludf.DUMMYFUNCTION("""COMPUTED_VALUE"""),"Ganjil")</f>
        <v>Ganjil</v>
      </c>
      <c r="G48" s="5" t="str">
        <f>IFERROR(__xludf.DUMMYFUNCTION("""COMPUTED_VALUE"""),"Manajemen")</f>
        <v>Manajemen</v>
      </c>
      <c r="H48" s="10" t="str">
        <f>IFERROR(__xludf.DUMMYFUNCTION("""COMPUTED_VALUE"""),"Mahasiswa")</f>
        <v>Mahasiswa</v>
      </c>
      <c r="I48" s="6" t="str">
        <f>IFERROR(__xludf.DUMMYFUNCTION("""COMPUTED_VALUE"""),"Dyah Larasati")</f>
        <v>Dyah Larasati</v>
      </c>
      <c r="J48" s="6" t="str">
        <f>IFERROR(__xludf.DUMMYFUNCTION("""COMPUTED_VALUE"""),"Heny Kurnianingsih")</f>
        <v>Heny Kurnianingsih</v>
      </c>
      <c r="K48" s="6"/>
      <c r="L48" s="6"/>
      <c r="M48" s="6"/>
      <c r="N48" s="6"/>
      <c r="O48" s="6"/>
      <c r="P48" s="10" t="str">
        <f>IFERROR(__xludf.DUMMYFUNCTION("""COMPUTED_VALUE"""),"Dyah Larasati,Heny Kurnianingsih,,")</f>
        <v>Dyah Larasati,Heny Kurnianingsih,,</v>
      </c>
      <c r="Q48" s="6"/>
      <c r="R48" s="6"/>
    </row>
    <row r="49">
      <c r="A49" s="5">
        <f>IFERROR(__xludf.DUMMYFUNCTION("""COMPUTED_VALUE"""),48.0)</f>
        <v>48</v>
      </c>
      <c r="B49" s="6" t="str">
        <f>IFERROR(__xludf.DUMMYFUNCTION("""COMPUTED_VALUE"""),"PENGARUH BAURAN PEMASARAN TERHADAP KEPUTUSAN PEMBELIAN PRODUK FILA DI METRO DEPARTEMEN STORE")</f>
        <v>PENGARUH BAURAN PEMASARAN TERHADAP KEPUTUSAN PEMBELIAN PRODUK FILA DI METRO DEPARTEMEN STORE</v>
      </c>
      <c r="C49" s="7">
        <f>IFERROR(__xludf.DUMMYFUNCTION("""COMPUTED_VALUE"""),2021.0)</f>
        <v>2021</v>
      </c>
      <c r="D49" s="8" t="str">
        <f>IFERROR(__xludf.DUMMYFUNCTION("""COMPUTED_VALUE"""),"2021/2022")</f>
        <v>2021/2022</v>
      </c>
      <c r="E49" s="9">
        <f>IFERROR(__xludf.DUMMYFUNCTION("""COMPUTED_VALUE"""),44559.0)</f>
        <v>44559</v>
      </c>
      <c r="F49" s="5" t="str">
        <f>IFERROR(__xludf.DUMMYFUNCTION("""COMPUTED_VALUE"""),"Ganjil")</f>
        <v>Ganjil</v>
      </c>
      <c r="G49" s="5" t="str">
        <f>IFERROR(__xludf.DUMMYFUNCTION("""COMPUTED_VALUE"""),"Manajemen")</f>
        <v>Manajemen</v>
      </c>
      <c r="H49" s="10" t="str">
        <f>IFERROR(__xludf.DUMMYFUNCTION("""COMPUTED_VALUE"""),"Mahasiswa")</f>
        <v>Mahasiswa</v>
      </c>
      <c r="I49" s="6" t="str">
        <f>IFERROR(__xludf.DUMMYFUNCTION("""COMPUTED_VALUE"""),"Eka Febriyana Anis S")</f>
        <v>Eka Febriyana Anis S</v>
      </c>
      <c r="J49" s="6" t="str">
        <f>IFERROR(__xludf.DUMMYFUNCTION("""COMPUTED_VALUE"""),"Christiawan Hendratmoko")</f>
        <v>Christiawan Hendratmoko</v>
      </c>
      <c r="K49" s="6"/>
      <c r="L49" s="6"/>
      <c r="M49" s="6"/>
      <c r="N49" s="6"/>
      <c r="O49" s="6"/>
      <c r="P49" s="10" t="str">
        <f>IFERROR(__xludf.DUMMYFUNCTION("""COMPUTED_VALUE"""),"Eka Febriyana Anis S,Christiawan Hendratmoko,,")</f>
        <v>Eka Febriyana Anis S,Christiawan Hendratmoko,,</v>
      </c>
      <c r="Q49" s="6"/>
      <c r="R49" s="6"/>
    </row>
    <row r="50">
      <c r="A50" s="5">
        <f>IFERROR(__xludf.DUMMYFUNCTION("""COMPUTED_VALUE"""),49.0)</f>
        <v>49</v>
      </c>
      <c r="B50" s="6" t="str">
        <f>IFERROR(__xludf.DUMMYFUNCTION("""COMPUTED_VALUE"""),"Pengaruh Bauran Pemasaran Terhadap Keputusan Pembelian Produk Kime Di Indonesia")</f>
        <v>Pengaruh Bauran Pemasaran Terhadap Keputusan Pembelian Produk Kime Di Indonesia</v>
      </c>
      <c r="C50" s="7">
        <f>IFERROR(__xludf.DUMMYFUNCTION("""COMPUTED_VALUE"""),2021.0)</f>
        <v>2021</v>
      </c>
      <c r="D50" s="8" t="str">
        <f>IFERROR(__xludf.DUMMYFUNCTION("""COMPUTED_VALUE"""),"2021/2022")</f>
        <v>2021/2022</v>
      </c>
      <c r="E50" s="9">
        <f>IFERROR(__xludf.DUMMYFUNCTION("""COMPUTED_VALUE"""),44559.0)</f>
        <v>44559</v>
      </c>
      <c r="F50" s="5" t="str">
        <f>IFERROR(__xludf.DUMMYFUNCTION("""COMPUTED_VALUE"""),"Ganjil")</f>
        <v>Ganjil</v>
      </c>
      <c r="G50" s="5" t="str">
        <f>IFERROR(__xludf.DUMMYFUNCTION("""COMPUTED_VALUE"""),"Manajemen")</f>
        <v>Manajemen</v>
      </c>
      <c r="H50" s="10" t="str">
        <f>IFERROR(__xludf.DUMMYFUNCTION("""COMPUTED_VALUE"""),"Mahasiswa")</f>
        <v>Mahasiswa</v>
      </c>
      <c r="I50" s="6" t="str">
        <f>IFERROR(__xludf.DUMMYFUNCTION("""COMPUTED_VALUE"""),"Nanda Rizky F")</f>
        <v>Nanda Rizky F</v>
      </c>
      <c r="J50" s="6" t="str">
        <f>IFERROR(__xludf.DUMMYFUNCTION("""COMPUTED_VALUE"""),"Utomo Wibisono")</f>
        <v>Utomo Wibisono</v>
      </c>
      <c r="K50" s="6"/>
      <c r="L50" s="6"/>
      <c r="M50" s="6"/>
      <c r="N50" s="6"/>
      <c r="O50" s="6"/>
      <c r="P50" s="10" t="str">
        <f>IFERROR(__xludf.DUMMYFUNCTION("""COMPUTED_VALUE"""),"Nanda Rizky F,Utomo Wibisono,,")</f>
        <v>Nanda Rizky F,Utomo Wibisono,,</v>
      </c>
      <c r="Q50" s="6"/>
      <c r="R50" s="6"/>
    </row>
    <row r="51">
      <c r="A51" s="5">
        <f>IFERROR(__xludf.DUMMYFUNCTION("""COMPUTED_VALUE"""),50.0)</f>
        <v>50</v>
      </c>
      <c r="B51" s="6" t="str">
        <f>IFERROR(__xludf.DUMMYFUNCTION("""COMPUTED_VALUE"""),"Pengaruh Brand Awareness, Perceived Quality, Brand Association, dan Brand Loyalty Terhadap Brand Equity Hijab SAUDIA  (studi kasus pengguna hijab SAUDIA di Soloraya)")</f>
        <v>Pengaruh Brand Awareness, Perceived Quality, Brand Association, dan Brand Loyalty Terhadap Brand Equity Hijab SAUDIA  (studi kasus pengguna hijab SAUDIA di Soloraya)</v>
      </c>
      <c r="C51" s="7">
        <f>IFERROR(__xludf.DUMMYFUNCTION("""COMPUTED_VALUE"""),2021.0)</f>
        <v>2021</v>
      </c>
      <c r="D51" s="8" t="str">
        <f>IFERROR(__xludf.DUMMYFUNCTION("""COMPUTED_VALUE"""),"2021/2022")</f>
        <v>2021/2022</v>
      </c>
      <c r="E51" s="9">
        <f>IFERROR(__xludf.DUMMYFUNCTION("""COMPUTED_VALUE"""),44559.0)</f>
        <v>44559</v>
      </c>
      <c r="F51" s="5" t="str">
        <f>IFERROR(__xludf.DUMMYFUNCTION("""COMPUTED_VALUE"""),"Ganjil")</f>
        <v>Ganjil</v>
      </c>
      <c r="G51" s="5" t="str">
        <f>IFERROR(__xludf.DUMMYFUNCTION("""COMPUTED_VALUE"""),"Manajemen")</f>
        <v>Manajemen</v>
      </c>
      <c r="H51" s="10" t="str">
        <f>IFERROR(__xludf.DUMMYFUNCTION("""COMPUTED_VALUE"""),"Mahasiswa")</f>
        <v>Mahasiswa</v>
      </c>
      <c r="I51" s="6" t="str">
        <f>IFERROR(__xludf.DUMMYFUNCTION("""COMPUTED_VALUE"""),"Natalia Mila Permatasari")</f>
        <v>Natalia Mila Permatasari</v>
      </c>
      <c r="J51" s="6" t="str">
        <f>IFERROR(__xludf.DUMMYFUNCTION("""COMPUTED_VALUE"""),"Ida Ayu Kade")</f>
        <v>Ida Ayu Kade</v>
      </c>
      <c r="K51" s="6"/>
      <c r="L51" s="6"/>
      <c r="M51" s="6"/>
      <c r="N51" s="6"/>
      <c r="O51" s="6"/>
      <c r="P51" s="10" t="str">
        <f>IFERROR(__xludf.DUMMYFUNCTION("""COMPUTED_VALUE"""),"Natalia Mila Permatasari,Ida Ayu Kade,,")</f>
        <v>Natalia Mila Permatasari,Ida Ayu Kade,,</v>
      </c>
      <c r="Q51" s="11" t="str">
        <f>IFERROR(__xludf.DUMMYFUNCTION("""COMPUTED_VALUE"""),"https://journal.uniku.ac.id/index.php/ijsm/article/view/4085")</f>
        <v>https://journal.uniku.ac.id/index.php/ijsm/article/view/4085</v>
      </c>
      <c r="R51" s="6"/>
    </row>
    <row r="52">
      <c r="A52" s="5">
        <f>IFERROR(__xludf.DUMMYFUNCTION("""COMPUTED_VALUE"""),51.0)</f>
        <v>51</v>
      </c>
      <c r="B52" s="6" t="str">
        <f>IFERROR(__xludf.DUMMYFUNCTION("""COMPUTED_VALUE"""),"PENGARUH BRAND IMAGE, PROMOSI, DAN KUALITAS TERHADAP KEPUASAN KONSUMEN PEMBELIAN PRODUK POND’S")</f>
        <v>PENGARUH BRAND IMAGE, PROMOSI, DAN KUALITAS TERHADAP KEPUASAN KONSUMEN PEMBELIAN PRODUK POND’S</v>
      </c>
      <c r="C52" s="7">
        <f>IFERROR(__xludf.DUMMYFUNCTION("""COMPUTED_VALUE"""),2021.0)</f>
        <v>2021</v>
      </c>
      <c r="D52" s="8" t="str">
        <f>IFERROR(__xludf.DUMMYFUNCTION("""COMPUTED_VALUE"""),"2021/2022")</f>
        <v>2021/2022</v>
      </c>
      <c r="E52" s="9">
        <f>IFERROR(__xludf.DUMMYFUNCTION("""COMPUTED_VALUE"""),44559.0)</f>
        <v>44559</v>
      </c>
      <c r="F52" s="5" t="str">
        <f>IFERROR(__xludf.DUMMYFUNCTION("""COMPUTED_VALUE"""),"Ganjil")</f>
        <v>Ganjil</v>
      </c>
      <c r="G52" s="5" t="str">
        <f>IFERROR(__xludf.DUMMYFUNCTION("""COMPUTED_VALUE"""),"Manajemen")</f>
        <v>Manajemen</v>
      </c>
      <c r="H52" s="10" t="str">
        <f>IFERROR(__xludf.DUMMYFUNCTION("""COMPUTED_VALUE"""),"Mahasiswa")</f>
        <v>Mahasiswa</v>
      </c>
      <c r="I52" s="6" t="str">
        <f>IFERROR(__xludf.DUMMYFUNCTION("""COMPUTED_VALUE"""),"Tutut Tri Elysa")</f>
        <v>Tutut Tri Elysa</v>
      </c>
      <c r="J52" s="6" t="str">
        <f>IFERROR(__xludf.DUMMYFUNCTION("""COMPUTED_VALUE"""),"Heny Kurnianingsih")</f>
        <v>Heny Kurnianingsih</v>
      </c>
      <c r="K52" s="6"/>
      <c r="L52" s="6"/>
      <c r="M52" s="6"/>
      <c r="N52" s="6"/>
      <c r="O52" s="6"/>
      <c r="P52" s="10" t="str">
        <f>IFERROR(__xludf.DUMMYFUNCTION("""COMPUTED_VALUE"""),"Tutut Tri Elysa,Heny Kurnianingsih,,")</f>
        <v>Tutut Tri Elysa,Heny Kurnianingsih,,</v>
      </c>
      <c r="Q52" s="6"/>
      <c r="R52" s="6"/>
    </row>
    <row r="53">
      <c r="A53" s="5">
        <f>IFERROR(__xludf.DUMMYFUNCTION("""COMPUTED_VALUE"""),52.0)</f>
        <v>52</v>
      </c>
      <c r="B53" s="6" t="str">
        <f>IFERROR(__xludf.DUMMYFUNCTION("""COMPUTED_VALUE"""),"PENGARUH BUDAYA, SOSIAL, PRIBADI DAN PSIKOLOGIS TERHADAP KEPUTUSAN PEMBELIAN SMARTPHONE SAMSUNG")</f>
        <v>PENGARUH BUDAYA, SOSIAL, PRIBADI DAN PSIKOLOGIS TERHADAP KEPUTUSAN PEMBELIAN SMARTPHONE SAMSUNG</v>
      </c>
      <c r="C53" s="7">
        <f>IFERROR(__xludf.DUMMYFUNCTION("""COMPUTED_VALUE"""),2021.0)</f>
        <v>2021</v>
      </c>
      <c r="D53" s="8" t="str">
        <f>IFERROR(__xludf.DUMMYFUNCTION("""COMPUTED_VALUE"""),"2021/2022")</f>
        <v>2021/2022</v>
      </c>
      <c r="E53" s="9">
        <f>IFERROR(__xludf.DUMMYFUNCTION("""COMPUTED_VALUE"""),44559.0)</f>
        <v>44559</v>
      </c>
      <c r="F53" s="5" t="str">
        <f>IFERROR(__xludf.DUMMYFUNCTION("""COMPUTED_VALUE"""),"Ganjil")</f>
        <v>Ganjil</v>
      </c>
      <c r="G53" s="5" t="str">
        <f>IFERROR(__xludf.DUMMYFUNCTION("""COMPUTED_VALUE"""),"Manajemen")</f>
        <v>Manajemen</v>
      </c>
      <c r="H53" s="10" t="str">
        <f>IFERROR(__xludf.DUMMYFUNCTION("""COMPUTED_VALUE"""),"Mahasiswa")</f>
        <v>Mahasiswa</v>
      </c>
      <c r="I53" s="6" t="str">
        <f>IFERROR(__xludf.DUMMYFUNCTION("""COMPUTED_VALUE"""),"Ajeng H")</f>
        <v>Ajeng H</v>
      </c>
      <c r="J53" s="6" t="str">
        <f>IFERROR(__xludf.DUMMYFUNCTION("""COMPUTED_VALUE"""),"Ida Ayu Kade")</f>
        <v>Ida Ayu Kade</v>
      </c>
      <c r="K53" s="6"/>
      <c r="L53" s="6"/>
      <c r="M53" s="6"/>
      <c r="N53" s="6"/>
      <c r="O53" s="6"/>
      <c r="P53" s="10" t="str">
        <f>IFERROR(__xludf.DUMMYFUNCTION("""COMPUTED_VALUE"""),"Ajeng H,Ida Ayu Kade,,")</f>
        <v>Ajeng H,Ida Ayu Kade,,</v>
      </c>
      <c r="Q53" s="11" t="str">
        <f>IFERROR(__xludf.DUMMYFUNCTION("""COMPUTED_VALUE"""),"https://media.neliti.com/media/publications/454063-none-9ed20a18.pdf")</f>
        <v>https://media.neliti.com/media/publications/454063-none-9ed20a18.pdf</v>
      </c>
      <c r="R53" s="6"/>
    </row>
    <row r="54">
      <c r="A54" s="5">
        <f>IFERROR(__xludf.DUMMYFUNCTION("""COMPUTED_VALUE"""),53.0)</f>
        <v>53</v>
      </c>
      <c r="B54" s="6" t="str">
        <f>IFERROR(__xludf.DUMMYFUNCTION("""COMPUTED_VALUE"""),"Pengaruh Celebrity Endorser, Testimoni dan Harga Terhadap Keputusan Pembelian Pada Produk Wardah di Kota Solo")</f>
        <v>Pengaruh Celebrity Endorser, Testimoni dan Harga Terhadap Keputusan Pembelian Pada Produk Wardah di Kota Solo</v>
      </c>
      <c r="C54" s="7">
        <f>IFERROR(__xludf.DUMMYFUNCTION("""COMPUTED_VALUE"""),2021.0)</f>
        <v>2021</v>
      </c>
      <c r="D54" s="8" t="str">
        <f>IFERROR(__xludf.DUMMYFUNCTION("""COMPUTED_VALUE"""),"2021/2022")</f>
        <v>2021/2022</v>
      </c>
      <c r="E54" s="9">
        <f>IFERROR(__xludf.DUMMYFUNCTION("""COMPUTED_VALUE"""),44559.0)</f>
        <v>44559</v>
      </c>
      <c r="F54" s="5" t="str">
        <f>IFERROR(__xludf.DUMMYFUNCTION("""COMPUTED_VALUE"""),"Ganjil")</f>
        <v>Ganjil</v>
      </c>
      <c r="G54" s="5" t="str">
        <f>IFERROR(__xludf.DUMMYFUNCTION("""COMPUTED_VALUE"""),"Manajemen")</f>
        <v>Manajemen</v>
      </c>
      <c r="H54" s="10" t="str">
        <f>IFERROR(__xludf.DUMMYFUNCTION("""COMPUTED_VALUE"""),"Mahasiswa")</f>
        <v>Mahasiswa</v>
      </c>
      <c r="I54" s="6" t="str">
        <f>IFERROR(__xludf.DUMMYFUNCTION("""COMPUTED_VALUE"""),"Adinda Wening")</f>
        <v>Adinda Wening</v>
      </c>
      <c r="J54" s="6" t="str">
        <f>IFERROR(__xludf.DUMMYFUNCTION("""COMPUTED_VALUE"""),"Budi Istiyanto")</f>
        <v>Budi Istiyanto</v>
      </c>
      <c r="K54" s="6"/>
      <c r="L54" s="6"/>
      <c r="M54" s="6"/>
      <c r="N54" s="6"/>
      <c r="O54" s="6"/>
      <c r="P54" s="10" t="str">
        <f>IFERROR(__xludf.DUMMYFUNCTION("""COMPUTED_VALUE"""),"Adinda Wening,Budi Istiyanto,,")</f>
        <v>Adinda Wening,Budi Istiyanto,,</v>
      </c>
      <c r="Q54" s="11" t="str">
        <f>IFERROR(__xludf.DUMMYFUNCTION("""COMPUTED_VALUE"""),"https://jurnal.stiesurakarta.ac.id/index.php/jebdeker")</f>
        <v>https://jurnal.stiesurakarta.ac.id/index.php/jebdeker</v>
      </c>
      <c r="R54" s="6"/>
    </row>
    <row r="55">
      <c r="A55" s="5">
        <f>IFERROR(__xludf.DUMMYFUNCTION("""COMPUTED_VALUE"""),54.0)</f>
        <v>54</v>
      </c>
      <c r="B55" s="6" t="str">
        <f>IFERROR(__xludf.DUMMYFUNCTION("""COMPUTED_VALUE"""),"PENGARUH CITRA MEREK, DESAIN PRODUK, DAN FITUR TERHADAP KEPUTUSAN PEMBELIAN SMARTPHONE SAMSUNG DI STIE SURAKARTA")</f>
        <v>PENGARUH CITRA MEREK, DESAIN PRODUK, DAN FITUR TERHADAP KEPUTUSAN PEMBELIAN SMARTPHONE SAMSUNG DI STIE SURAKARTA</v>
      </c>
      <c r="C55" s="7">
        <f>IFERROR(__xludf.DUMMYFUNCTION("""COMPUTED_VALUE"""),2021.0)</f>
        <v>2021</v>
      </c>
      <c r="D55" s="8" t="str">
        <f>IFERROR(__xludf.DUMMYFUNCTION("""COMPUTED_VALUE"""),"2021/2022")</f>
        <v>2021/2022</v>
      </c>
      <c r="E55" s="9">
        <f>IFERROR(__xludf.DUMMYFUNCTION("""COMPUTED_VALUE"""),44559.0)</f>
        <v>44559</v>
      </c>
      <c r="F55" s="5" t="str">
        <f>IFERROR(__xludf.DUMMYFUNCTION("""COMPUTED_VALUE"""),"Ganjil")</f>
        <v>Ganjil</v>
      </c>
      <c r="G55" s="5" t="str">
        <f>IFERROR(__xludf.DUMMYFUNCTION("""COMPUTED_VALUE"""),"Manajemen")</f>
        <v>Manajemen</v>
      </c>
      <c r="H55" s="10" t="str">
        <f>IFERROR(__xludf.DUMMYFUNCTION("""COMPUTED_VALUE"""),"Mahasiswa")</f>
        <v>Mahasiswa</v>
      </c>
      <c r="I55" s="6" t="str">
        <f>IFERROR(__xludf.DUMMYFUNCTION("""COMPUTED_VALUE"""),"Tika Meitasari")</f>
        <v>Tika Meitasari</v>
      </c>
      <c r="J55" s="6" t="str">
        <f>IFERROR(__xludf.DUMMYFUNCTION("""COMPUTED_VALUE"""),"Utomo Wibisono")</f>
        <v>Utomo Wibisono</v>
      </c>
      <c r="K55" s="6"/>
      <c r="L55" s="6"/>
      <c r="M55" s="6"/>
      <c r="N55" s="6"/>
      <c r="O55" s="6"/>
      <c r="P55" s="10" t="str">
        <f>IFERROR(__xludf.DUMMYFUNCTION("""COMPUTED_VALUE"""),"Tika Meitasari,Utomo Wibisono,,")</f>
        <v>Tika Meitasari,Utomo Wibisono,,</v>
      </c>
      <c r="Q55" s="6"/>
      <c r="R55" s="6"/>
    </row>
    <row r="56">
      <c r="A56" s="5">
        <f>IFERROR(__xludf.DUMMYFUNCTION("""COMPUTED_VALUE"""),55.0)</f>
        <v>55</v>
      </c>
      <c r="B56" s="6" t="str">
        <f>IFERROR(__xludf.DUMMYFUNCTION("""COMPUTED_VALUE"""),"PENGARUH CITRA MEREK, KUALITAS PRODUK DAN HARGA TERHADAP KEPUTUSAN PEMBELIAN MOTOR HONDA BEAT DI BOYOLALI")</f>
        <v>PENGARUH CITRA MEREK, KUALITAS PRODUK DAN HARGA TERHADAP KEPUTUSAN PEMBELIAN MOTOR HONDA BEAT DI BOYOLALI</v>
      </c>
      <c r="C56" s="7">
        <f>IFERROR(__xludf.DUMMYFUNCTION("""COMPUTED_VALUE"""),2021.0)</f>
        <v>2021</v>
      </c>
      <c r="D56" s="8" t="str">
        <f>IFERROR(__xludf.DUMMYFUNCTION("""COMPUTED_VALUE"""),"2021/2022")</f>
        <v>2021/2022</v>
      </c>
      <c r="E56" s="9">
        <f>IFERROR(__xludf.DUMMYFUNCTION("""COMPUTED_VALUE"""),44559.0)</f>
        <v>44559</v>
      </c>
      <c r="F56" s="5" t="str">
        <f>IFERROR(__xludf.DUMMYFUNCTION("""COMPUTED_VALUE"""),"Ganjil")</f>
        <v>Ganjil</v>
      </c>
      <c r="G56" s="5" t="str">
        <f>IFERROR(__xludf.DUMMYFUNCTION("""COMPUTED_VALUE"""),"Manajemen")</f>
        <v>Manajemen</v>
      </c>
      <c r="H56" s="10" t="str">
        <f>IFERROR(__xludf.DUMMYFUNCTION("""COMPUTED_VALUE"""),"Mahasiswa")</f>
        <v>Mahasiswa</v>
      </c>
      <c r="I56" s="6" t="str">
        <f>IFERROR(__xludf.DUMMYFUNCTION("""COMPUTED_VALUE"""),"Alfa Toni")</f>
        <v>Alfa Toni</v>
      </c>
      <c r="J56" s="6" t="str">
        <f>IFERROR(__xludf.DUMMYFUNCTION("""COMPUTED_VALUE"""),"Budi Istiyanto")</f>
        <v>Budi Istiyanto</v>
      </c>
      <c r="K56" s="6"/>
      <c r="L56" s="6"/>
      <c r="M56" s="6"/>
      <c r="N56" s="6"/>
      <c r="O56" s="6"/>
      <c r="P56" s="10" t="str">
        <f>IFERROR(__xludf.DUMMYFUNCTION("""COMPUTED_VALUE"""),"Alfa Toni,Budi Istiyanto,,")</f>
        <v>Alfa Toni,Budi Istiyanto,,</v>
      </c>
      <c r="Q56" s="11" t="str">
        <f>IFERROR(__xludf.DUMMYFUNCTION("""COMPUTED_VALUE"""),"https://jurnal.stiesurakarta.ac.id/index.php/jebdeker")</f>
        <v>https://jurnal.stiesurakarta.ac.id/index.php/jebdeker</v>
      </c>
      <c r="R56" s="6"/>
    </row>
    <row r="57">
      <c r="A57" s="5">
        <f>IFERROR(__xludf.DUMMYFUNCTION("""COMPUTED_VALUE"""),56.0)</f>
        <v>56</v>
      </c>
      <c r="B57" s="6" t="str">
        <f>IFERROR(__xludf.DUMMYFUNCTION("""COMPUTED_VALUE"""),"Pengaruh Citra Merk,Kualitas Produk,Harga,Dan Promosi Terhadap Kepuasan Konsumen Pengguna Motor Honda Beat")</f>
        <v>Pengaruh Citra Merk,Kualitas Produk,Harga,Dan Promosi Terhadap Kepuasan Konsumen Pengguna Motor Honda Beat</v>
      </c>
      <c r="C57" s="7">
        <f>IFERROR(__xludf.DUMMYFUNCTION("""COMPUTED_VALUE"""),2021.0)</f>
        <v>2021</v>
      </c>
      <c r="D57" s="8" t="str">
        <f>IFERROR(__xludf.DUMMYFUNCTION("""COMPUTED_VALUE"""),"2021/2022")</f>
        <v>2021/2022</v>
      </c>
      <c r="E57" s="9">
        <f>IFERROR(__xludf.DUMMYFUNCTION("""COMPUTED_VALUE"""),44559.0)</f>
        <v>44559</v>
      </c>
      <c r="F57" s="5" t="str">
        <f>IFERROR(__xludf.DUMMYFUNCTION("""COMPUTED_VALUE"""),"Ganjil")</f>
        <v>Ganjil</v>
      </c>
      <c r="G57" s="5" t="str">
        <f>IFERROR(__xludf.DUMMYFUNCTION("""COMPUTED_VALUE"""),"Manajemen")</f>
        <v>Manajemen</v>
      </c>
      <c r="H57" s="10" t="str">
        <f>IFERROR(__xludf.DUMMYFUNCTION("""COMPUTED_VALUE"""),"Mahasiswa")</f>
        <v>Mahasiswa</v>
      </c>
      <c r="I57" s="6" t="str">
        <f>IFERROR(__xludf.DUMMYFUNCTION("""COMPUTED_VALUE"""),"Agus Hariyanto")</f>
        <v>Agus Hariyanto</v>
      </c>
      <c r="J57" s="6" t="str">
        <f>IFERROR(__xludf.DUMMYFUNCTION("""COMPUTED_VALUE"""),"Ari Susanti")</f>
        <v>Ari Susanti</v>
      </c>
      <c r="K57" s="6"/>
      <c r="L57" s="6"/>
      <c r="M57" s="6"/>
      <c r="N57" s="6"/>
      <c r="O57" s="6"/>
      <c r="P57" s="10" t="str">
        <f>IFERROR(__xludf.DUMMYFUNCTION("""COMPUTED_VALUE"""),"Agus Hariyanto,Ari Susanti,,")</f>
        <v>Agus Hariyanto,Ari Susanti,,</v>
      </c>
      <c r="Q57" s="11" t="str">
        <f>IFERROR(__xludf.DUMMYFUNCTION("""COMPUTED_VALUE"""),"https://journal.universitasbumigora.ac.id/index.php/target/article/view/1196")</f>
        <v>https://journal.universitasbumigora.ac.id/index.php/target/article/view/1196</v>
      </c>
      <c r="R57" s="6"/>
    </row>
    <row r="58">
      <c r="A58" s="5">
        <f>IFERROR(__xludf.DUMMYFUNCTION("""COMPUTED_VALUE"""),57.0)</f>
        <v>57</v>
      </c>
      <c r="B58" s="6" t="str">
        <f>IFERROR(__xludf.DUMMYFUNCTION("""COMPUTED_VALUE"""),"PENGARUH DIFERENSIASI PRODUK, IKLAN DAN BRAND AMBASSADOR TERHADAP KEPUTUSAN PEMBELIAN MIE LEMONILO")</f>
        <v>PENGARUH DIFERENSIASI PRODUK, IKLAN DAN BRAND AMBASSADOR TERHADAP KEPUTUSAN PEMBELIAN MIE LEMONILO</v>
      </c>
      <c r="C58" s="7">
        <f>IFERROR(__xludf.DUMMYFUNCTION("""COMPUTED_VALUE"""),2021.0)</f>
        <v>2021</v>
      </c>
      <c r="D58" s="8" t="str">
        <f>IFERROR(__xludf.DUMMYFUNCTION("""COMPUTED_VALUE"""),"2021/2022")</f>
        <v>2021/2022</v>
      </c>
      <c r="E58" s="9">
        <f>IFERROR(__xludf.DUMMYFUNCTION("""COMPUTED_VALUE"""),44559.0)</f>
        <v>44559</v>
      </c>
      <c r="F58" s="5" t="str">
        <f>IFERROR(__xludf.DUMMYFUNCTION("""COMPUTED_VALUE"""),"Ganjil")</f>
        <v>Ganjil</v>
      </c>
      <c r="G58" s="5" t="str">
        <f>IFERROR(__xludf.DUMMYFUNCTION("""COMPUTED_VALUE"""),"Manajemen")</f>
        <v>Manajemen</v>
      </c>
      <c r="H58" s="10" t="str">
        <f>IFERROR(__xludf.DUMMYFUNCTION("""COMPUTED_VALUE"""),"Mahasiswa")</f>
        <v>Mahasiswa</v>
      </c>
      <c r="I58" s="6" t="str">
        <f>IFERROR(__xludf.DUMMYFUNCTION("""COMPUTED_VALUE"""),"Yustika Kusuma Dewi")</f>
        <v>Yustika Kusuma Dewi</v>
      </c>
      <c r="J58" s="6" t="str">
        <f>IFERROR(__xludf.DUMMYFUNCTION("""COMPUTED_VALUE"""),"Ida Ayu Kade")</f>
        <v>Ida Ayu Kade</v>
      </c>
      <c r="K58" s="6"/>
      <c r="L58" s="6"/>
      <c r="M58" s="6"/>
      <c r="N58" s="6"/>
      <c r="O58" s="6"/>
      <c r="P58" s="10" t="str">
        <f>IFERROR(__xludf.DUMMYFUNCTION("""COMPUTED_VALUE"""),"Yustika Kusuma Dewi,Ida Ayu Kade,,")</f>
        <v>Yustika Kusuma Dewi,Ida Ayu Kade,,</v>
      </c>
      <c r="Q58" s="11" t="str">
        <f>IFERROR(__xludf.DUMMYFUNCTION("""COMPUTED_VALUE"""),"http://jurnal.unsil.ac.id/index.php/jem/index")</f>
        <v>http://jurnal.unsil.ac.id/index.php/jem/index</v>
      </c>
      <c r="R58" s="6"/>
    </row>
    <row r="59">
      <c r="A59" s="5">
        <f>IFERROR(__xludf.DUMMYFUNCTION("""COMPUTED_VALUE"""),58.0)</f>
        <v>58</v>
      </c>
      <c r="B59" s="6" t="str">
        <f>IFERROR(__xludf.DUMMYFUNCTION("""COMPUTED_VALUE"""),"PENGARUH EPS, ROA, DER, DAN PBV TERHADAP HARGA SAHAM PADA INDEX LQ45 DITENGAH PANDEMI COVID-19")</f>
        <v>PENGARUH EPS, ROA, DER, DAN PBV TERHADAP HARGA SAHAM PADA INDEX LQ45 DITENGAH PANDEMI COVID-19</v>
      </c>
      <c r="C59" s="7">
        <f>IFERROR(__xludf.DUMMYFUNCTION("""COMPUTED_VALUE"""),2021.0)</f>
        <v>2021</v>
      </c>
      <c r="D59" s="8" t="str">
        <f>IFERROR(__xludf.DUMMYFUNCTION("""COMPUTED_VALUE"""),"2021/2022")</f>
        <v>2021/2022</v>
      </c>
      <c r="E59" s="9">
        <f>IFERROR(__xludf.DUMMYFUNCTION("""COMPUTED_VALUE"""),44559.0)</f>
        <v>44559</v>
      </c>
      <c r="F59" s="5" t="str">
        <f>IFERROR(__xludf.DUMMYFUNCTION("""COMPUTED_VALUE"""),"Ganjil")</f>
        <v>Ganjil</v>
      </c>
      <c r="G59" s="5" t="str">
        <f>IFERROR(__xludf.DUMMYFUNCTION("""COMPUTED_VALUE"""),"Manajemen")</f>
        <v>Manajemen</v>
      </c>
      <c r="H59" s="10" t="str">
        <f>IFERROR(__xludf.DUMMYFUNCTION("""COMPUTED_VALUE"""),"Mahasiswa")</f>
        <v>Mahasiswa</v>
      </c>
      <c r="I59" s="6" t="str">
        <f>IFERROR(__xludf.DUMMYFUNCTION("""COMPUTED_VALUE"""),"Yudhi Supriyanto")</f>
        <v>Yudhi Supriyanto</v>
      </c>
      <c r="J59" s="6" t="str">
        <f>IFERROR(__xludf.DUMMYFUNCTION("""COMPUTED_VALUE"""),"Heny Kurnianingsih")</f>
        <v>Heny Kurnianingsih</v>
      </c>
      <c r="K59" s="6"/>
      <c r="L59" s="6"/>
      <c r="M59" s="6"/>
      <c r="N59" s="6"/>
      <c r="O59" s="6"/>
      <c r="P59" s="10" t="str">
        <f>IFERROR(__xludf.DUMMYFUNCTION("""COMPUTED_VALUE"""),"Yudhi Supriyanto,Heny Kurnianingsih,,")</f>
        <v>Yudhi Supriyanto,Heny Kurnianingsih,,</v>
      </c>
      <c r="Q59" s="11" t="str">
        <f>IFERROR(__xludf.DUMMYFUNCTION("""COMPUTED_VALUE"""),"https://www.ijmcer.com/wp-content/uploads/2021/10/IJMCER_I035058068.pdf")</f>
        <v>https://www.ijmcer.com/wp-content/uploads/2021/10/IJMCER_I035058068.pdf</v>
      </c>
      <c r="R59" s="6"/>
    </row>
    <row r="60">
      <c r="A60" s="5">
        <f>IFERROR(__xludf.DUMMYFUNCTION("""COMPUTED_VALUE"""),59.0)</f>
        <v>59</v>
      </c>
      <c r="B60" s="6" t="str">
        <f>IFERROR(__xludf.DUMMYFUNCTION("""COMPUTED_VALUE"""),"PENGARUH FAKTOR–FAKTOR KUALITAS TERHADAP KEPUTUSAN PEMBELIAN SMARTPHONE SAMSUNG DENGAN KEPUASAN PELANGGAN SEBAGAI VARIABEL MODERATING")</f>
        <v>PENGARUH FAKTOR–FAKTOR KUALITAS TERHADAP KEPUTUSAN PEMBELIAN SMARTPHONE SAMSUNG DENGAN KEPUASAN PELANGGAN SEBAGAI VARIABEL MODERATING</v>
      </c>
      <c r="C60" s="7">
        <f>IFERROR(__xludf.DUMMYFUNCTION("""COMPUTED_VALUE"""),2021.0)</f>
        <v>2021</v>
      </c>
      <c r="D60" s="8" t="str">
        <f>IFERROR(__xludf.DUMMYFUNCTION("""COMPUTED_VALUE"""),"2021/2022")</f>
        <v>2021/2022</v>
      </c>
      <c r="E60" s="9">
        <f>IFERROR(__xludf.DUMMYFUNCTION("""COMPUTED_VALUE"""),44559.0)</f>
        <v>44559</v>
      </c>
      <c r="F60" s="5" t="str">
        <f>IFERROR(__xludf.DUMMYFUNCTION("""COMPUTED_VALUE"""),"Ganjil")</f>
        <v>Ganjil</v>
      </c>
      <c r="G60" s="5" t="str">
        <f>IFERROR(__xludf.DUMMYFUNCTION("""COMPUTED_VALUE"""),"Manajemen")</f>
        <v>Manajemen</v>
      </c>
      <c r="H60" s="10" t="str">
        <f>IFERROR(__xludf.DUMMYFUNCTION("""COMPUTED_VALUE"""),"Mahasiswa")</f>
        <v>Mahasiswa</v>
      </c>
      <c r="I60" s="6" t="str">
        <f>IFERROR(__xludf.DUMMYFUNCTION("""COMPUTED_VALUE"""),"Deta Aprilia")</f>
        <v>Deta Aprilia</v>
      </c>
      <c r="J60" s="6" t="str">
        <f>IFERROR(__xludf.DUMMYFUNCTION("""COMPUTED_VALUE"""),"Muhammad Jalari")</f>
        <v>Muhammad Jalari</v>
      </c>
      <c r="K60" s="6"/>
      <c r="L60" s="6"/>
      <c r="M60" s="6"/>
      <c r="N60" s="6"/>
      <c r="O60" s="6"/>
      <c r="P60" s="10" t="str">
        <f>IFERROR(__xludf.DUMMYFUNCTION("""COMPUTED_VALUE"""),"Deta Aprilia,Muhammad Jalari,,")</f>
        <v>Deta Aprilia,Muhammad Jalari,,</v>
      </c>
      <c r="Q60" s="6"/>
      <c r="R60" s="6"/>
    </row>
    <row r="61">
      <c r="A61" s="5">
        <f>IFERROR(__xludf.DUMMYFUNCTION("""COMPUTED_VALUE"""),60.0)</f>
        <v>60</v>
      </c>
      <c r="B61" s="6" t="str">
        <f>IFERROR(__xludf.DUMMYFUNCTION("""COMPUTED_VALUE"""),"PENGARUH GAYA HIDUP, FITUR, DESAIN DAN KUALITAS 
 PRODUK TERHADAP KEPUTUSAN PEMBELIAN 
 SMARTPHONE MEREK SAMSUNG")</f>
        <v>PENGARUH GAYA HIDUP, FITUR, DESAIN DAN KUALITAS 
 PRODUK TERHADAP KEPUTUSAN PEMBELIAN 
 SMARTPHONE MEREK SAMSUNG</v>
      </c>
      <c r="C61" s="7">
        <f>IFERROR(__xludf.DUMMYFUNCTION("""COMPUTED_VALUE"""),2021.0)</f>
        <v>2021</v>
      </c>
      <c r="D61" s="8" t="str">
        <f>IFERROR(__xludf.DUMMYFUNCTION("""COMPUTED_VALUE"""),"2021/2022")</f>
        <v>2021/2022</v>
      </c>
      <c r="E61" s="9">
        <f>IFERROR(__xludf.DUMMYFUNCTION("""COMPUTED_VALUE"""),44559.0)</f>
        <v>44559</v>
      </c>
      <c r="F61" s="5" t="str">
        <f>IFERROR(__xludf.DUMMYFUNCTION("""COMPUTED_VALUE"""),"Ganjil")</f>
        <v>Ganjil</v>
      </c>
      <c r="G61" s="5" t="str">
        <f>IFERROR(__xludf.DUMMYFUNCTION("""COMPUTED_VALUE"""),"Manajemen")</f>
        <v>Manajemen</v>
      </c>
      <c r="H61" s="10" t="str">
        <f>IFERROR(__xludf.DUMMYFUNCTION("""COMPUTED_VALUE"""),"Mahasiswa")</f>
        <v>Mahasiswa</v>
      </c>
      <c r="I61" s="6" t="str">
        <f>IFERROR(__xludf.DUMMYFUNCTION("""COMPUTED_VALUE"""),"Estri Dwi Handayani")</f>
        <v>Estri Dwi Handayani</v>
      </c>
      <c r="J61" s="6" t="str">
        <f>IFERROR(__xludf.DUMMYFUNCTION("""COMPUTED_VALUE"""),"Heny Kurnianingsih")</f>
        <v>Heny Kurnianingsih</v>
      </c>
      <c r="K61" s="6"/>
      <c r="L61" s="6"/>
      <c r="M61" s="6"/>
      <c r="N61" s="6"/>
      <c r="O61" s="6"/>
      <c r="P61" s="10" t="str">
        <f>IFERROR(__xludf.DUMMYFUNCTION("""COMPUTED_VALUE"""),"Estri Dwi Handayani,Heny Kurnianingsih,,")</f>
        <v>Estri Dwi Handayani,Heny Kurnianingsih,,</v>
      </c>
      <c r="Q61" s="11" t="str">
        <f>IFERROR(__xludf.DUMMYFUNCTION("""COMPUTED_VALUE"""),"https://jurnal.ustjogja.ac.id/index.php/manajemendewantara/article/view/11317")</f>
        <v>https://jurnal.ustjogja.ac.id/index.php/manajemendewantara/article/view/11317</v>
      </c>
      <c r="R61" s="6"/>
    </row>
    <row r="62">
      <c r="A62" s="5">
        <f>IFERROR(__xludf.DUMMYFUNCTION("""COMPUTED_VALUE"""),61.0)</f>
        <v>61</v>
      </c>
      <c r="B62" s="6" t="str">
        <f>IFERROR(__xludf.DUMMYFUNCTION("""COMPUTED_VALUE"""),"PENGARUH HARGA , KEPERCAYAAN , PROMOSI DAN KEMUDAHAN TRANSAKSI TERHADAP KEPUTUSAN PEMBELIAN PRODUK KECANTIKAN DI SHOPEE")</f>
        <v>PENGARUH HARGA , KEPERCAYAAN , PROMOSI DAN KEMUDAHAN TRANSAKSI TERHADAP KEPUTUSAN PEMBELIAN PRODUK KECANTIKAN DI SHOPEE</v>
      </c>
      <c r="C62" s="7">
        <f>IFERROR(__xludf.DUMMYFUNCTION("""COMPUTED_VALUE"""),2021.0)</f>
        <v>2021</v>
      </c>
      <c r="D62" s="8" t="str">
        <f>IFERROR(__xludf.DUMMYFUNCTION("""COMPUTED_VALUE"""),"2021/2022")</f>
        <v>2021/2022</v>
      </c>
      <c r="E62" s="9">
        <f>IFERROR(__xludf.DUMMYFUNCTION("""COMPUTED_VALUE"""),44559.0)</f>
        <v>44559</v>
      </c>
      <c r="F62" s="5" t="str">
        <f>IFERROR(__xludf.DUMMYFUNCTION("""COMPUTED_VALUE"""),"Ganjil")</f>
        <v>Ganjil</v>
      </c>
      <c r="G62" s="5" t="str">
        <f>IFERROR(__xludf.DUMMYFUNCTION("""COMPUTED_VALUE"""),"Manajemen")</f>
        <v>Manajemen</v>
      </c>
      <c r="H62" s="10" t="str">
        <f>IFERROR(__xludf.DUMMYFUNCTION("""COMPUTED_VALUE"""),"Mahasiswa")</f>
        <v>Mahasiswa</v>
      </c>
      <c r="I62" s="6" t="str">
        <f>IFERROR(__xludf.DUMMYFUNCTION("""COMPUTED_VALUE"""),"Shinta Marristha")</f>
        <v>Shinta Marristha</v>
      </c>
      <c r="J62" s="6" t="str">
        <f>IFERROR(__xludf.DUMMYFUNCTION("""COMPUTED_VALUE"""),"Hestin")</f>
        <v>Hestin</v>
      </c>
      <c r="K62" s="6"/>
      <c r="L62" s="6"/>
      <c r="M62" s="6"/>
      <c r="N62" s="6"/>
      <c r="O62" s="6"/>
      <c r="P62" s="10" t="str">
        <f>IFERROR(__xludf.DUMMYFUNCTION("""COMPUTED_VALUE"""),"Shinta Marristha,Hestin,,")</f>
        <v>Shinta Marristha,Hestin,,</v>
      </c>
      <c r="Q62" s="11" t="str">
        <f>IFERROR(__xludf.DUMMYFUNCTION("""COMPUTED_VALUE"""),"http://jurnal.unsil.ac.id/index.php/jem/index")</f>
        <v>http://jurnal.unsil.ac.id/index.php/jem/index</v>
      </c>
      <c r="R62" s="6"/>
    </row>
    <row r="63">
      <c r="A63" s="5">
        <f>IFERROR(__xludf.DUMMYFUNCTION("""COMPUTED_VALUE"""),62.0)</f>
        <v>62</v>
      </c>
      <c r="B63" s="6" t="str">
        <f>IFERROR(__xludf.DUMMYFUNCTION("""COMPUTED_VALUE"""),"Pengaruh Harga, Desain produk dan Iklan terhadap Keputusan Pembelian Batik Keris")</f>
        <v>Pengaruh Harga, Desain produk dan Iklan terhadap Keputusan Pembelian Batik Keris</v>
      </c>
      <c r="C63" s="7">
        <f>IFERROR(__xludf.DUMMYFUNCTION("""COMPUTED_VALUE"""),2021.0)</f>
        <v>2021</v>
      </c>
      <c r="D63" s="8" t="str">
        <f>IFERROR(__xludf.DUMMYFUNCTION("""COMPUTED_VALUE"""),"2021/2022")</f>
        <v>2021/2022</v>
      </c>
      <c r="E63" s="9">
        <f>IFERROR(__xludf.DUMMYFUNCTION("""COMPUTED_VALUE"""),44559.0)</f>
        <v>44559</v>
      </c>
      <c r="F63" s="5" t="str">
        <f>IFERROR(__xludf.DUMMYFUNCTION("""COMPUTED_VALUE"""),"Ganjil")</f>
        <v>Ganjil</v>
      </c>
      <c r="G63" s="5" t="str">
        <f>IFERROR(__xludf.DUMMYFUNCTION("""COMPUTED_VALUE"""),"Manajemen")</f>
        <v>Manajemen</v>
      </c>
      <c r="H63" s="10" t="str">
        <f>IFERROR(__xludf.DUMMYFUNCTION("""COMPUTED_VALUE"""),"Mahasiswa")</f>
        <v>Mahasiswa</v>
      </c>
      <c r="I63" s="6" t="str">
        <f>IFERROR(__xludf.DUMMYFUNCTION("""COMPUTED_VALUE"""),"Puput Widya Putri")</f>
        <v>Puput Widya Putri</v>
      </c>
      <c r="J63" s="6" t="str">
        <f>IFERROR(__xludf.DUMMYFUNCTION("""COMPUTED_VALUE"""),"Hestin")</f>
        <v>Hestin</v>
      </c>
      <c r="K63" s="6"/>
      <c r="L63" s="6"/>
      <c r="M63" s="6"/>
      <c r="N63" s="6"/>
      <c r="O63" s="6"/>
      <c r="P63" s="10" t="str">
        <f>IFERROR(__xludf.DUMMYFUNCTION("""COMPUTED_VALUE"""),"Puput Widya Putri,Hestin,,")</f>
        <v>Puput Widya Putri,Hestin,,</v>
      </c>
      <c r="Q63" s="6"/>
      <c r="R63" s="6"/>
    </row>
    <row r="64">
      <c r="A64" s="5">
        <f>IFERROR(__xludf.DUMMYFUNCTION("""COMPUTED_VALUE"""),63.0)</f>
        <v>63</v>
      </c>
      <c r="B64" s="6" t="str">
        <f>IFERROR(__xludf.DUMMYFUNCTION("""COMPUTED_VALUE"""),"PENGARUH HARGA, KEPERCAYAAN MEREK, DAN KUALITAS PELAYANAN TERHADAP LOYALITAS PELANGGAN INDIHOME DI MASA PANDEMI")</f>
        <v>PENGARUH HARGA, KEPERCAYAAN MEREK, DAN KUALITAS PELAYANAN TERHADAP LOYALITAS PELANGGAN INDIHOME DI MASA PANDEMI</v>
      </c>
      <c r="C64" s="7">
        <f>IFERROR(__xludf.DUMMYFUNCTION("""COMPUTED_VALUE"""),2021.0)</f>
        <v>2021</v>
      </c>
      <c r="D64" s="8" t="str">
        <f>IFERROR(__xludf.DUMMYFUNCTION("""COMPUTED_VALUE"""),"2021/2022")</f>
        <v>2021/2022</v>
      </c>
      <c r="E64" s="9">
        <f>IFERROR(__xludf.DUMMYFUNCTION("""COMPUTED_VALUE"""),44559.0)</f>
        <v>44559</v>
      </c>
      <c r="F64" s="5" t="str">
        <f>IFERROR(__xludf.DUMMYFUNCTION("""COMPUTED_VALUE"""),"Ganjil")</f>
        <v>Ganjil</v>
      </c>
      <c r="G64" s="5" t="str">
        <f>IFERROR(__xludf.DUMMYFUNCTION("""COMPUTED_VALUE"""),"Manajemen")</f>
        <v>Manajemen</v>
      </c>
      <c r="H64" s="10" t="str">
        <f>IFERROR(__xludf.DUMMYFUNCTION("""COMPUTED_VALUE"""),"Mahasiswa")</f>
        <v>Mahasiswa</v>
      </c>
      <c r="I64" s="6" t="str">
        <f>IFERROR(__xludf.DUMMYFUNCTION("""COMPUTED_VALUE"""),"Dianita Desaras Lefta")</f>
        <v>Dianita Desaras Lefta</v>
      </c>
      <c r="J64" s="6" t="str">
        <f>IFERROR(__xludf.DUMMYFUNCTION("""COMPUTED_VALUE"""),"Ari Susanti")</f>
        <v>Ari Susanti</v>
      </c>
      <c r="K64" s="6"/>
      <c r="L64" s="6"/>
      <c r="M64" s="6"/>
      <c r="N64" s="6"/>
      <c r="O64" s="6"/>
      <c r="P64" s="10" t="str">
        <f>IFERROR(__xludf.DUMMYFUNCTION("""COMPUTED_VALUE"""),"Dianita Desaras Lefta,Ari Susanti,,")</f>
        <v>Dianita Desaras Lefta,Ari Susanti,,</v>
      </c>
      <c r="Q64" s="11" t="str">
        <f>IFERROR(__xludf.DUMMYFUNCTION("""COMPUTED_VALUE"""),"http://jurnal.unsil.ac.id/index.php/jem/index")</f>
        <v>http://jurnal.unsil.ac.id/index.php/jem/index</v>
      </c>
      <c r="R64" s="6"/>
    </row>
    <row r="65">
      <c r="A65" s="5">
        <f>IFERROR(__xludf.DUMMYFUNCTION("""COMPUTED_VALUE"""),64.0)</f>
        <v>64</v>
      </c>
      <c r="B65" s="6" t="str">
        <f>IFERROR(__xludf.DUMMYFUNCTION("""COMPUTED_VALUE"""),"PENGARUH HARGA, KUALITAS PRODUK DAN CITRA MERK TERHADAP KEPUTUSAN PEMBELIAN PRODUK GT-MAN DI LUWES GENTAN,SUKOHARJO")</f>
        <v>PENGARUH HARGA, KUALITAS PRODUK DAN CITRA MERK TERHADAP KEPUTUSAN PEMBELIAN PRODUK GT-MAN DI LUWES GENTAN,SUKOHARJO</v>
      </c>
      <c r="C65" s="7">
        <f>IFERROR(__xludf.DUMMYFUNCTION("""COMPUTED_VALUE"""),2021.0)</f>
        <v>2021</v>
      </c>
      <c r="D65" s="8" t="str">
        <f>IFERROR(__xludf.DUMMYFUNCTION("""COMPUTED_VALUE"""),"2021/2022")</f>
        <v>2021/2022</v>
      </c>
      <c r="E65" s="9">
        <f>IFERROR(__xludf.DUMMYFUNCTION("""COMPUTED_VALUE"""),44559.0)</f>
        <v>44559</v>
      </c>
      <c r="F65" s="5" t="str">
        <f>IFERROR(__xludf.DUMMYFUNCTION("""COMPUTED_VALUE"""),"Ganjil")</f>
        <v>Ganjil</v>
      </c>
      <c r="G65" s="5" t="str">
        <f>IFERROR(__xludf.DUMMYFUNCTION("""COMPUTED_VALUE"""),"Manajemen")</f>
        <v>Manajemen</v>
      </c>
      <c r="H65" s="10" t="str">
        <f>IFERROR(__xludf.DUMMYFUNCTION("""COMPUTED_VALUE"""),"Mahasiswa")</f>
        <v>Mahasiswa</v>
      </c>
      <c r="I65" s="6" t="str">
        <f>IFERROR(__xludf.DUMMYFUNCTION("""COMPUTED_VALUE"""),"Salma Aulia")</f>
        <v>Salma Aulia</v>
      </c>
      <c r="J65" s="6" t="str">
        <f>IFERROR(__xludf.DUMMYFUNCTION("""COMPUTED_VALUE"""),"Christiawan Hendratmoko")</f>
        <v>Christiawan Hendratmoko</v>
      </c>
      <c r="K65" s="6"/>
      <c r="L65" s="6"/>
      <c r="M65" s="6"/>
      <c r="N65" s="6"/>
      <c r="O65" s="6"/>
      <c r="P65" s="10" t="str">
        <f>IFERROR(__xludf.DUMMYFUNCTION("""COMPUTED_VALUE"""),"Salma Aulia,Christiawan Hendratmoko,,")</f>
        <v>Salma Aulia,Christiawan Hendratmoko,,</v>
      </c>
      <c r="Q65" s="6"/>
      <c r="R65" s="6"/>
    </row>
    <row r="66">
      <c r="A66" s="5">
        <f>IFERROR(__xludf.DUMMYFUNCTION("""COMPUTED_VALUE"""),65.0)</f>
        <v>65</v>
      </c>
      <c r="B66" s="6" t="str">
        <f>IFERROR(__xludf.DUMMYFUNCTION("""COMPUTED_VALUE"""),"PENGARUH HARGA, KUALITAS PRODUK DAN PROMOSI TERHADAP KEPUTUSAN PEMBELIAN PAKET DATA INDOSAT OOREDOO PADA MASYARAKAT DIKECAMATAN GONDANGREJO")</f>
        <v>PENGARUH HARGA, KUALITAS PRODUK DAN PROMOSI TERHADAP KEPUTUSAN PEMBELIAN PAKET DATA INDOSAT OOREDOO PADA MASYARAKAT DIKECAMATAN GONDANGREJO</v>
      </c>
      <c r="C66" s="7">
        <f>IFERROR(__xludf.DUMMYFUNCTION("""COMPUTED_VALUE"""),2021.0)</f>
        <v>2021</v>
      </c>
      <c r="D66" s="8" t="str">
        <f>IFERROR(__xludf.DUMMYFUNCTION("""COMPUTED_VALUE"""),"2021/2022")</f>
        <v>2021/2022</v>
      </c>
      <c r="E66" s="9">
        <f>IFERROR(__xludf.DUMMYFUNCTION("""COMPUTED_VALUE"""),44559.0)</f>
        <v>44559</v>
      </c>
      <c r="F66" s="5" t="str">
        <f>IFERROR(__xludf.DUMMYFUNCTION("""COMPUTED_VALUE"""),"Ganjil")</f>
        <v>Ganjil</v>
      </c>
      <c r="G66" s="5" t="str">
        <f>IFERROR(__xludf.DUMMYFUNCTION("""COMPUTED_VALUE"""),"Manajemen")</f>
        <v>Manajemen</v>
      </c>
      <c r="H66" s="10" t="str">
        <f>IFERROR(__xludf.DUMMYFUNCTION("""COMPUTED_VALUE"""),"Mahasiswa")</f>
        <v>Mahasiswa</v>
      </c>
      <c r="I66" s="6" t="str">
        <f>IFERROR(__xludf.DUMMYFUNCTION("""COMPUTED_VALUE"""),"Defi Ayu Ningsih")</f>
        <v>Defi Ayu Ningsih</v>
      </c>
      <c r="J66" s="6" t="str">
        <f>IFERROR(__xludf.DUMMYFUNCTION("""COMPUTED_VALUE"""),"Budi Istiyanto")</f>
        <v>Budi Istiyanto</v>
      </c>
      <c r="K66" s="6"/>
      <c r="L66" s="6"/>
      <c r="M66" s="6"/>
      <c r="N66" s="6"/>
      <c r="O66" s="6"/>
      <c r="P66" s="10" t="str">
        <f>IFERROR(__xludf.DUMMYFUNCTION("""COMPUTED_VALUE"""),"Defi Ayu Ningsih,Budi Istiyanto,,")</f>
        <v>Defi Ayu Ningsih,Budi Istiyanto,,</v>
      </c>
      <c r="Q66" s="11" t="str">
        <f>IFERROR(__xludf.DUMMYFUNCTION("""COMPUTED_VALUE"""),"http://jurnal.unsil.ac.id/index.php/jem/author")</f>
        <v>http://jurnal.unsil.ac.id/index.php/jem/author</v>
      </c>
      <c r="R66" s="6"/>
    </row>
    <row r="67">
      <c r="A67" s="5">
        <f>IFERROR(__xludf.DUMMYFUNCTION("""COMPUTED_VALUE"""),66.0)</f>
        <v>66</v>
      </c>
      <c r="B67" s="6" t="str">
        <f>IFERROR(__xludf.DUMMYFUNCTION("""COMPUTED_VALUE"""),"PENGARUH HARGA, KUALITAS PRODUK, CELEBRITY ENDORSER, DAN EWOM TERHADAP MINAT BELI LIPSTIK WARDAH DI KOTA SURAKARTA")</f>
        <v>PENGARUH HARGA, KUALITAS PRODUK, CELEBRITY ENDORSER, DAN EWOM TERHADAP MINAT BELI LIPSTIK WARDAH DI KOTA SURAKARTA</v>
      </c>
      <c r="C67" s="7">
        <f>IFERROR(__xludf.DUMMYFUNCTION("""COMPUTED_VALUE"""),2021.0)</f>
        <v>2021</v>
      </c>
      <c r="D67" s="8" t="str">
        <f>IFERROR(__xludf.DUMMYFUNCTION("""COMPUTED_VALUE"""),"2021/2022")</f>
        <v>2021/2022</v>
      </c>
      <c r="E67" s="9">
        <f>IFERROR(__xludf.DUMMYFUNCTION("""COMPUTED_VALUE"""),44559.0)</f>
        <v>44559</v>
      </c>
      <c r="F67" s="5" t="str">
        <f>IFERROR(__xludf.DUMMYFUNCTION("""COMPUTED_VALUE"""),"Ganjil")</f>
        <v>Ganjil</v>
      </c>
      <c r="G67" s="5" t="str">
        <f>IFERROR(__xludf.DUMMYFUNCTION("""COMPUTED_VALUE"""),"Manajemen")</f>
        <v>Manajemen</v>
      </c>
      <c r="H67" s="10" t="str">
        <f>IFERROR(__xludf.DUMMYFUNCTION("""COMPUTED_VALUE"""),"Mahasiswa")</f>
        <v>Mahasiswa</v>
      </c>
      <c r="I67" s="6" t="str">
        <f>IFERROR(__xludf.DUMMYFUNCTION("""COMPUTED_VALUE"""),"Arlita Arum")</f>
        <v>Arlita Arum</v>
      </c>
      <c r="J67" s="6" t="str">
        <f>IFERROR(__xludf.DUMMYFUNCTION("""COMPUTED_VALUE"""),"Ginanjar Rahmawan")</f>
        <v>Ginanjar Rahmawan</v>
      </c>
      <c r="K67" s="6"/>
      <c r="L67" s="6"/>
      <c r="M67" s="6"/>
      <c r="N67" s="6"/>
      <c r="O67" s="6"/>
      <c r="P67" s="10" t="str">
        <f>IFERROR(__xludf.DUMMYFUNCTION("""COMPUTED_VALUE"""),"Arlita Arum,Ginanjar Rahmawan,,")</f>
        <v>Arlita Arum,Ginanjar Rahmawan,,</v>
      </c>
      <c r="Q67" s="6"/>
      <c r="R67" s="6"/>
    </row>
    <row r="68">
      <c r="A68" s="5">
        <f>IFERROR(__xludf.DUMMYFUNCTION("""COMPUTED_VALUE"""),67.0)</f>
        <v>67</v>
      </c>
      <c r="B68" s="6" t="str">
        <f>IFERROR(__xludf.DUMMYFUNCTION("""COMPUTED_VALUE"""),"PENGARUH HARGA, KUALITAS PRODUK, DAN PROMOSI TERHADAP KEPUTUSAN PEMBELIAN PRODUK EMINA KEPADA REMAJA DI SURAKARTA")</f>
        <v>PENGARUH HARGA, KUALITAS PRODUK, DAN PROMOSI TERHADAP KEPUTUSAN PEMBELIAN PRODUK EMINA KEPADA REMAJA DI SURAKARTA</v>
      </c>
      <c r="C68" s="7">
        <f>IFERROR(__xludf.DUMMYFUNCTION("""COMPUTED_VALUE"""),2021.0)</f>
        <v>2021</v>
      </c>
      <c r="D68" s="8" t="str">
        <f>IFERROR(__xludf.DUMMYFUNCTION("""COMPUTED_VALUE"""),"2021/2022")</f>
        <v>2021/2022</v>
      </c>
      <c r="E68" s="9">
        <f>IFERROR(__xludf.DUMMYFUNCTION("""COMPUTED_VALUE"""),44559.0)</f>
        <v>44559</v>
      </c>
      <c r="F68" s="5" t="str">
        <f>IFERROR(__xludf.DUMMYFUNCTION("""COMPUTED_VALUE"""),"Ganjil")</f>
        <v>Ganjil</v>
      </c>
      <c r="G68" s="5" t="str">
        <f>IFERROR(__xludf.DUMMYFUNCTION("""COMPUTED_VALUE"""),"Manajemen")</f>
        <v>Manajemen</v>
      </c>
      <c r="H68" s="10" t="str">
        <f>IFERROR(__xludf.DUMMYFUNCTION("""COMPUTED_VALUE"""),"Mahasiswa")</f>
        <v>Mahasiswa</v>
      </c>
      <c r="I68" s="6" t="str">
        <f>IFERROR(__xludf.DUMMYFUNCTION("""COMPUTED_VALUE"""),"Agnes Ratna Puspita")</f>
        <v>Agnes Ratna Puspita</v>
      </c>
      <c r="J68" s="6" t="str">
        <f>IFERROR(__xludf.DUMMYFUNCTION("""COMPUTED_VALUE"""),"Budi Istiyanto")</f>
        <v>Budi Istiyanto</v>
      </c>
      <c r="K68" s="6"/>
      <c r="L68" s="6"/>
      <c r="M68" s="6"/>
      <c r="N68" s="6"/>
      <c r="O68" s="6"/>
      <c r="P68" s="10" t="str">
        <f>IFERROR(__xludf.DUMMYFUNCTION("""COMPUTED_VALUE"""),"Agnes Ratna Puspita,Budi Istiyanto,,")</f>
        <v>Agnes Ratna Puspita,Budi Istiyanto,,</v>
      </c>
      <c r="Q68" s="6"/>
      <c r="R68" s="6"/>
    </row>
    <row r="69">
      <c r="A69" s="5">
        <f>IFERROR(__xludf.DUMMYFUNCTION("""COMPUTED_VALUE"""),68.0)</f>
        <v>68</v>
      </c>
      <c r="B69" s="6" t="str">
        <f>IFERROR(__xludf.DUMMYFUNCTION("""COMPUTED_VALUE"""),"PENGARUH HARGA, KUALITAS PRODUK, KUALITAS PELAYANAN TERHADAP KEPUTUSAN PEMBELIAN PADA KONSUMEN BETENG TRADE CENTRE")</f>
        <v>PENGARUH HARGA, KUALITAS PRODUK, KUALITAS PELAYANAN TERHADAP KEPUTUSAN PEMBELIAN PADA KONSUMEN BETENG TRADE CENTRE</v>
      </c>
      <c r="C69" s="7">
        <f>IFERROR(__xludf.DUMMYFUNCTION("""COMPUTED_VALUE"""),2021.0)</f>
        <v>2021</v>
      </c>
      <c r="D69" s="8" t="str">
        <f>IFERROR(__xludf.DUMMYFUNCTION("""COMPUTED_VALUE"""),"2021/2022")</f>
        <v>2021/2022</v>
      </c>
      <c r="E69" s="9">
        <f>IFERROR(__xludf.DUMMYFUNCTION("""COMPUTED_VALUE"""),44559.0)</f>
        <v>44559</v>
      </c>
      <c r="F69" s="5" t="str">
        <f>IFERROR(__xludf.DUMMYFUNCTION("""COMPUTED_VALUE"""),"Ganjil")</f>
        <v>Ganjil</v>
      </c>
      <c r="G69" s="5" t="str">
        <f>IFERROR(__xludf.DUMMYFUNCTION("""COMPUTED_VALUE"""),"Manajemen")</f>
        <v>Manajemen</v>
      </c>
      <c r="H69" s="10" t="str">
        <f>IFERROR(__xludf.DUMMYFUNCTION("""COMPUTED_VALUE"""),"Mahasiswa")</f>
        <v>Mahasiswa</v>
      </c>
      <c r="I69" s="6" t="str">
        <f>IFERROR(__xludf.DUMMYFUNCTION("""COMPUTED_VALUE"""),"Azzilla Rachmawati")</f>
        <v>Azzilla Rachmawati</v>
      </c>
      <c r="J69" s="6" t="str">
        <f>IFERROR(__xludf.DUMMYFUNCTION("""COMPUTED_VALUE"""),"Andri Nurtantiono")</f>
        <v>Andri Nurtantiono</v>
      </c>
      <c r="K69" s="6"/>
      <c r="L69" s="6"/>
      <c r="M69" s="6"/>
      <c r="N69" s="6"/>
      <c r="O69" s="6"/>
      <c r="P69" s="10" t="str">
        <f>IFERROR(__xludf.DUMMYFUNCTION("""COMPUTED_VALUE"""),"Azzilla Rachmawati,Andri Nurtantiono,,")</f>
        <v>Azzilla Rachmawati,Andri Nurtantiono,,</v>
      </c>
      <c r="Q69" s="6"/>
      <c r="R69" s="6"/>
    </row>
    <row r="70">
      <c r="A70" s="5">
        <f>IFERROR(__xludf.DUMMYFUNCTION("""COMPUTED_VALUE"""),69.0)</f>
        <v>69</v>
      </c>
      <c r="B70" s="6" t="str">
        <f>IFERROR(__xludf.DUMMYFUNCTION("""COMPUTED_VALUE"""),"PENGARUH HARGA, KUALITAS PRODUK,DAN KUALITAS PELAYANAN TERHADAP KEPUTUSAN PEMBELIAN EMAS DITOKO EMAS SEMAR JAWA BOYOLALI")</f>
        <v>PENGARUH HARGA, KUALITAS PRODUK,DAN KUALITAS PELAYANAN TERHADAP KEPUTUSAN PEMBELIAN EMAS DITOKO EMAS SEMAR JAWA BOYOLALI</v>
      </c>
      <c r="C70" s="7">
        <f>IFERROR(__xludf.DUMMYFUNCTION("""COMPUTED_VALUE"""),2021.0)</f>
        <v>2021</v>
      </c>
      <c r="D70" s="8" t="str">
        <f>IFERROR(__xludf.DUMMYFUNCTION("""COMPUTED_VALUE"""),"2021/2022")</f>
        <v>2021/2022</v>
      </c>
      <c r="E70" s="9">
        <f>IFERROR(__xludf.DUMMYFUNCTION("""COMPUTED_VALUE"""),44559.0)</f>
        <v>44559</v>
      </c>
      <c r="F70" s="5" t="str">
        <f>IFERROR(__xludf.DUMMYFUNCTION("""COMPUTED_VALUE"""),"Ganjil")</f>
        <v>Ganjil</v>
      </c>
      <c r="G70" s="5" t="str">
        <f>IFERROR(__xludf.DUMMYFUNCTION("""COMPUTED_VALUE"""),"Manajemen")</f>
        <v>Manajemen</v>
      </c>
      <c r="H70" s="10" t="str">
        <f>IFERROR(__xludf.DUMMYFUNCTION("""COMPUTED_VALUE"""),"Mahasiswa")</f>
        <v>Mahasiswa</v>
      </c>
      <c r="I70" s="6" t="str">
        <f>IFERROR(__xludf.DUMMYFUNCTION("""COMPUTED_VALUE"""),"Yunitasari")</f>
        <v>Yunitasari</v>
      </c>
      <c r="J70" s="6" t="str">
        <f>IFERROR(__xludf.DUMMYFUNCTION("""COMPUTED_VALUE"""),"Utomo Wibisono")</f>
        <v>Utomo Wibisono</v>
      </c>
      <c r="K70" s="6"/>
      <c r="L70" s="6"/>
      <c r="M70" s="6"/>
      <c r="N70" s="6"/>
      <c r="O70" s="6"/>
      <c r="P70" s="10" t="str">
        <f>IFERROR(__xludf.DUMMYFUNCTION("""COMPUTED_VALUE"""),"Yunitasari,Utomo Wibisono,,")</f>
        <v>Yunitasari,Utomo Wibisono,,</v>
      </c>
      <c r="Q70" s="6"/>
      <c r="R70" s="6"/>
    </row>
    <row r="71">
      <c r="A71" s="5">
        <f>IFERROR(__xludf.DUMMYFUNCTION("""COMPUTED_VALUE"""),70.0)</f>
        <v>70</v>
      </c>
      <c r="B71" s="6" t="str">
        <f>IFERROR(__xludf.DUMMYFUNCTION("""COMPUTED_VALUE"""),"Pengaruh Harga, Promosi dan Kualitas Produk Terhadap Minat Beli Masyarakat Terhadap Smartphone Merk Cina")</f>
        <v>Pengaruh Harga, Promosi dan Kualitas Produk Terhadap Minat Beli Masyarakat Terhadap Smartphone Merk Cina</v>
      </c>
      <c r="C71" s="7">
        <f>IFERROR(__xludf.DUMMYFUNCTION("""COMPUTED_VALUE"""),2021.0)</f>
        <v>2021</v>
      </c>
      <c r="D71" s="8" t="str">
        <f>IFERROR(__xludf.DUMMYFUNCTION("""COMPUTED_VALUE"""),"2021/2022")</f>
        <v>2021/2022</v>
      </c>
      <c r="E71" s="9">
        <f>IFERROR(__xludf.DUMMYFUNCTION("""COMPUTED_VALUE"""),44559.0)</f>
        <v>44559</v>
      </c>
      <c r="F71" s="5" t="str">
        <f>IFERROR(__xludf.DUMMYFUNCTION("""COMPUTED_VALUE"""),"Ganjil")</f>
        <v>Ganjil</v>
      </c>
      <c r="G71" s="5" t="str">
        <f>IFERROR(__xludf.DUMMYFUNCTION("""COMPUTED_VALUE"""),"Manajemen")</f>
        <v>Manajemen</v>
      </c>
      <c r="H71" s="10" t="str">
        <f>IFERROR(__xludf.DUMMYFUNCTION("""COMPUTED_VALUE"""),"Mahasiswa")</f>
        <v>Mahasiswa</v>
      </c>
      <c r="I71" s="6" t="str">
        <f>IFERROR(__xludf.DUMMYFUNCTION("""COMPUTED_VALUE"""),"Aditya Krisna Ariyanto")</f>
        <v>Aditya Krisna Ariyanto</v>
      </c>
      <c r="J71" s="6" t="str">
        <f>IFERROR(__xludf.DUMMYFUNCTION("""COMPUTED_VALUE"""),"Ginanjar Rahmawan")</f>
        <v>Ginanjar Rahmawan</v>
      </c>
      <c r="K71" s="6"/>
      <c r="L71" s="6"/>
      <c r="M71" s="6"/>
      <c r="N71" s="6"/>
      <c r="O71" s="6"/>
      <c r="P71" s="10" t="str">
        <f>IFERROR(__xludf.DUMMYFUNCTION("""COMPUTED_VALUE"""),"Aditya Krisna Ariyanto,Ginanjar Rahmawan,,")</f>
        <v>Aditya Krisna Ariyanto,Ginanjar Rahmawan,,</v>
      </c>
      <c r="Q71" s="11" t="str">
        <f>IFERROR(__xludf.DUMMYFUNCTION("""COMPUTED_VALUE"""),"https://ejournal.unhi.ac.id/index.php/widyamanajemen/article/view/1632")</f>
        <v>https://ejournal.unhi.ac.id/index.php/widyamanajemen/article/view/1632</v>
      </c>
      <c r="R71" s="6"/>
    </row>
    <row r="72">
      <c r="A72" s="5">
        <f>IFERROR(__xludf.DUMMYFUNCTION("""COMPUTED_VALUE"""),71.0)</f>
        <v>71</v>
      </c>
      <c r="B72" s="6" t="str">
        <f>IFERROR(__xludf.DUMMYFUNCTION("""COMPUTED_VALUE"""),"PENGARUH HARGA, PROMOSI,PELAYANAN,DAN MEREK TERHADAP KEPUTUSAN PEMBELIAN KARTU PERDANA INDOSAT PADA MAHASISWA DI SURAKARTA")</f>
        <v>PENGARUH HARGA, PROMOSI,PELAYANAN,DAN MEREK TERHADAP KEPUTUSAN PEMBELIAN KARTU PERDANA INDOSAT PADA MAHASISWA DI SURAKARTA</v>
      </c>
      <c r="C72" s="7">
        <f>IFERROR(__xludf.DUMMYFUNCTION("""COMPUTED_VALUE"""),2021.0)</f>
        <v>2021</v>
      </c>
      <c r="D72" s="8" t="str">
        <f>IFERROR(__xludf.DUMMYFUNCTION("""COMPUTED_VALUE"""),"2021/2022")</f>
        <v>2021/2022</v>
      </c>
      <c r="E72" s="9">
        <f>IFERROR(__xludf.DUMMYFUNCTION("""COMPUTED_VALUE"""),44559.0)</f>
        <v>44559</v>
      </c>
      <c r="F72" s="5" t="str">
        <f>IFERROR(__xludf.DUMMYFUNCTION("""COMPUTED_VALUE"""),"Ganjil")</f>
        <v>Ganjil</v>
      </c>
      <c r="G72" s="5" t="str">
        <f>IFERROR(__xludf.DUMMYFUNCTION("""COMPUTED_VALUE"""),"Manajemen")</f>
        <v>Manajemen</v>
      </c>
      <c r="H72" s="10" t="str">
        <f>IFERROR(__xludf.DUMMYFUNCTION("""COMPUTED_VALUE"""),"Mahasiswa")</f>
        <v>Mahasiswa</v>
      </c>
      <c r="I72" s="6" t="str">
        <f>IFERROR(__xludf.DUMMYFUNCTION("""COMPUTED_VALUE"""),"Fikri Rahmani")</f>
        <v>Fikri Rahmani</v>
      </c>
      <c r="J72" s="6" t="str">
        <f>IFERROR(__xludf.DUMMYFUNCTION("""COMPUTED_VALUE"""),"Ari Susanti")</f>
        <v>Ari Susanti</v>
      </c>
      <c r="K72" s="6"/>
      <c r="L72" s="6"/>
      <c r="M72" s="6"/>
      <c r="N72" s="6"/>
      <c r="O72" s="6"/>
      <c r="P72" s="10" t="str">
        <f>IFERROR(__xludf.DUMMYFUNCTION("""COMPUTED_VALUE"""),"Fikri Rahmani,Ari Susanti,,")</f>
        <v>Fikri Rahmani,Ari Susanti,,</v>
      </c>
      <c r="Q72" s="6"/>
      <c r="R72" s="6"/>
    </row>
    <row r="73">
      <c r="A73" s="5">
        <f>IFERROR(__xludf.DUMMYFUNCTION("""COMPUTED_VALUE"""),72.0)</f>
        <v>72</v>
      </c>
      <c r="B73" s="6" t="str">
        <f>IFERROR(__xludf.DUMMYFUNCTION("""COMPUTED_VALUE"""),"PENGARUH INOVASI, KERAGAMAN PRODUK DAN KUALITAS PELAYANAN TERHADAP KEPUTUSAN PEMBELIAN PADA LELY BAKERY &amp; CAKE")</f>
        <v>PENGARUH INOVASI, KERAGAMAN PRODUK DAN KUALITAS PELAYANAN TERHADAP KEPUTUSAN PEMBELIAN PADA LELY BAKERY &amp; CAKE</v>
      </c>
      <c r="C73" s="7">
        <f>IFERROR(__xludf.DUMMYFUNCTION("""COMPUTED_VALUE"""),2021.0)</f>
        <v>2021</v>
      </c>
      <c r="D73" s="8" t="str">
        <f>IFERROR(__xludf.DUMMYFUNCTION("""COMPUTED_VALUE"""),"2021/2022")</f>
        <v>2021/2022</v>
      </c>
      <c r="E73" s="9">
        <f>IFERROR(__xludf.DUMMYFUNCTION("""COMPUTED_VALUE"""),44559.0)</f>
        <v>44559</v>
      </c>
      <c r="F73" s="5" t="str">
        <f>IFERROR(__xludf.DUMMYFUNCTION("""COMPUTED_VALUE"""),"Ganjil")</f>
        <v>Ganjil</v>
      </c>
      <c r="G73" s="5" t="str">
        <f>IFERROR(__xludf.DUMMYFUNCTION("""COMPUTED_VALUE"""),"Manajemen")</f>
        <v>Manajemen</v>
      </c>
      <c r="H73" s="10" t="str">
        <f>IFERROR(__xludf.DUMMYFUNCTION("""COMPUTED_VALUE"""),"Mahasiswa")</f>
        <v>Mahasiswa</v>
      </c>
      <c r="I73" s="6" t="str">
        <f>IFERROR(__xludf.DUMMYFUNCTION("""COMPUTED_VALUE"""),"Lely Novita")</f>
        <v>Lely Novita</v>
      </c>
      <c r="J73" s="6" t="str">
        <f>IFERROR(__xludf.DUMMYFUNCTION("""COMPUTED_VALUE"""),"Budi Istiyanto")</f>
        <v>Budi Istiyanto</v>
      </c>
      <c r="K73" s="6"/>
      <c r="L73" s="6"/>
      <c r="M73" s="6"/>
      <c r="N73" s="6"/>
      <c r="O73" s="6"/>
      <c r="P73" s="10" t="str">
        <f>IFERROR(__xludf.DUMMYFUNCTION("""COMPUTED_VALUE"""),"Lely Novita,Budi Istiyanto,,")</f>
        <v>Lely Novita,Budi Istiyanto,,</v>
      </c>
      <c r="Q73" s="11" t="str">
        <f>IFERROR(__xludf.DUMMYFUNCTION("""COMPUTED_VALUE"""),"https://jurnal.stiesurakarta.ac.id/index.php/jebdeker")</f>
        <v>https://jurnal.stiesurakarta.ac.id/index.php/jebdeker</v>
      </c>
      <c r="R73" s="6"/>
    </row>
    <row r="74">
      <c r="A74" s="5">
        <f>IFERROR(__xludf.DUMMYFUNCTION("""COMPUTED_VALUE"""),73.0)</f>
        <v>73</v>
      </c>
      <c r="B74" s="6" t="str">
        <f>IFERROR(__xludf.DUMMYFUNCTION("""COMPUTED_VALUE"""),"PENGARUH KEPERCAYAAN KONSUMEN DAN PROMOSI TERHADAP KEPUTUSAN PEMBELIAN ALAT KOMPUTERDI MASA PANDEMI COVID-19 PADA ONLINE SHOP BITSTORE DENGAN MINAT BELISEBAGAIVARIABEL INTERVENING")</f>
        <v>PENGARUH KEPERCAYAAN KONSUMEN DAN PROMOSI TERHADAP KEPUTUSAN PEMBELIAN ALAT KOMPUTERDI MASA PANDEMI COVID-19 PADA ONLINE SHOP BITSTORE DENGAN MINAT BELISEBAGAIVARIABEL INTERVENING</v>
      </c>
      <c r="C74" s="7">
        <f>IFERROR(__xludf.DUMMYFUNCTION("""COMPUTED_VALUE"""),2021.0)</f>
        <v>2021</v>
      </c>
      <c r="D74" s="8" t="str">
        <f>IFERROR(__xludf.DUMMYFUNCTION("""COMPUTED_VALUE"""),"2021/2022")</f>
        <v>2021/2022</v>
      </c>
      <c r="E74" s="9">
        <f>IFERROR(__xludf.DUMMYFUNCTION("""COMPUTED_VALUE"""),44559.0)</f>
        <v>44559</v>
      </c>
      <c r="F74" s="5" t="str">
        <f>IFERROR(__xludf.DUMMYFUNCTION("""COMPUTED_VALUE"""),"Ganjil")</f>
        <v>Ganjil</v>
      </c>
      <c r="G74" s="5" t="str">
        <f>IFERROR(__xludf.DUMMYFUNCTION("""COMPUTED_VALUE"""),"Manajemen")</f>
        <v>Manajemen</v>
      </c>
      <c r="H74" s="10" t="str">
        <f>IFERROR(__xludf.DUMMYFUNCTION("""COMPUTED_VALUE"""),"Mahasiswa")</f>
        <v>Mahasiswa</v>
      </c>
      <c r="I74" s="6" t="str">
        <f>IFERROR(__xludf.DUMMYFUNCTION("""COMPUTED_VALUE"""),"Sinung Budi Utomo")</f>
        <v>Sinung Budi Utomo</v>
      </c>
      <c r="J74" s="6" t="str">
        <f>IFERROR(__xludf.DUMMYFUNCTION("""COMPUTED_VALUE"""),"Muhammad Jalari")</f>
        <v>Muhammad Jalari</v>
      </c>
      <c r="K74" s="6"/>
      <c r="L74" s="6"/>
      <c r="M74" s="6"/>
      <c r="N74" s="6"/>
      <c r="O74" s="6"/>
      <c r="P74" s="10" t="str">
        <f>IFERROR(__xludf.DUMMYFUNCTION("""COMPUTED_VALUE"""),"Sinung Budi Utomo,Muhammad Jalari,,")</f>
        <v>Sinung Budi Utomo,Muhammad Jalari,,</v>
      </c>
      <c r="Q74" s="6"/>
      <c r="R74" s="6"/>
    </row>
    <row r="75">
      <c r="A75" s="5">
        <f>IFERROR(__xludf.DUMMYFUNCTION("""COMPUTED_VALUE"""),74.0)</f>
        <v>74</v>
      </c>
      <c r="B75" s="6" t="str">
        <f>IFERROR(__xludf.DUMMYFUNCTION("""COMPUTED_VALUE"""),"PENGARUH KEPERCAYAAN, CUSTOMER REVIEW, CUSTOMER RATING DAN HARGA TERHADAP KEPUTUSAN PEMBELIAN DI E-COMMERCE SHOPEEDI MASA PANDEMI COVID-19  (Survei pada pengguna shopee di Solo Raya)")</f>
        <v>PENGARUH KEPERCAYAAN, CUSTOMER REVIEW, CUSTOMER RATING DAN HARGA TERHADAP KEPUTUSAN PEMBELIAN DI E-COMMERCE SHOPEEDI MASA PANDEMI COVID-19  (Survei pada pengguna shopee di Solo Raya)</v>
      </c>
      <c r="C75" s="7">
        <f>IFERROR(__xludf.DUMMYFUNCTION("""COMPUTED_VALUE"""),2021.0)</f>
        <v>2021</v>
      </c>
      <c r="D75" s="8" t="str">
        <f>IFERROR(__xludf.DUMMYFUNCTION("""COMPUTED_VALUE"""),"2021/2022")</f>
        <v>2021/2022</v>
      </c>
      <c r="E75" s="9">
        <f>IFERROR(__xludf.DUMMYFUNCTION("""COMPUTED_VALUE"""),44559.0)</f>
        <v>44559</v>
      </c>
      <c r="F75" s="5" t="str">
        <f>IFERROR(__xludf.DUMMYFUNCTION("""COMPUTED_VALUE"""),"Ganjil")</f>
        <v>Ganjil</v>
      </c>
      <c r="G75" s="5" t="str">
        <f>IFERROR(__xludf.DUMMYFUNCTION("""COMPUTED_VALUE"""),"Manajemen")</f>
        <v>Manajemen</v>
      </c>
      <c r="H75" s="10" t="str">
        <f>IFERROR(__xludf.DUMMYFUNCTION("""COMPUTED_VALUE"""),"Mahasiswa")</f>
        <v>Mahasiswa</v>
      </c>
      <c r="I75" s="6" t="str">
        <f>IFERROR(__xludf.DUMMYFUNCTION("""COMPUTED_VALUE"""),"Yorda Adit Saputra")</f>
        <v>Yorda Adit Saputra</v>
      </c>
      <c r="J75" s="6" t="str">
        <f>IFERROR(__xludf.DUMMYFUNCTION("""COMPUTED_VALUE"""),"Christiawan Hendratmoko")</f>
        <v>Christiawan Hendratmoko</v>
      </c>
      <c r="K75" s="6"/>
      <c r="L75" s="6"/>
      <c r="M75" s="6"/>
      <c r="N75" s="6"/>
      <c r="O75" s="6"/>
      <c r="P75" s="10" t="str">
        <f>IFERROR(__xludf.DUMMYFUNCTION("""COMPUTED_VALUE"""),"Yorda Adit Saputra,Christiawan Hendratmoko,,")</f>
        <v>Yorda Adit Saputra,Christiawan Hendratmoko,,</v>
      </c>
      <c r="Q75" s="11" t="str">
        <f>IFERROR(__xludf.DUMMYFUNCTION("""COMPUTED_VALUE"""),"https://jurnal.unigal.ac.id/bmej/article/view/5080")</f>
        <v>https://jurnal.unigal.ac.id/bmej/article/view/5080</v>
      </c>
      <c r="R75" s="6"/>
    </row>
    <row r="76">
      <c r="A76" s="5">
        <f>IFERROR(__xludf.DUMMYFUNCTION("""COMPUTED_VALUE"""),75.0)</f>
        <v>75</v>
      </c>
      <c r="B76" s="6" t="str">
        <f>IFERROR(__xludf.DUMMYFUNCTION("""COMPUTED_VALUE"""),"PENGARUH KOMPENSASI, MOTIVASI, DAN LINGKUNGAN KERJA TERHADAP KINERJA KARYAWAN DI KOSPIN JASA CABANG SURAKARTA")</f>
        <v>PENGARUH KOMPENSASI, MOTIVASI, DAN LINGKUNGAN KERJA TERHADAP KINERJA KARYAWAN DI KOSPIN JASA CABANG SURAKARTA</v>
      </c>
      <c r="C76" s="7">
        <f>IFERROR(__xludf.DUMMYFUNCTION("""COMPUTED_VALUE"""),2021.0)</f>
        <v>2021</v>
      </c>
      <c r="D76" s="8" t="str">
        <f>IFERROR(__xludf.DUMMYFUNCTION("""COMPUTED_VALUE"""),"2021/2022")</f>
        <v>2021/2022</v>
      </c>
      <c r="E76" s="9">
        <f>IFERROR(__xludf.DUMMYFUNCTION("""COMPUTED_VALUE"""),44559.0)</f>
        <v>44559</v>
      </c>
      <c r="F76" s="5" t="str">
        <f>IFERROR(__xludf.DUMMYFUNCTION("""COMPUTED_VALUE"""),"Ganjil")</f>
        <v>Ganjil</v>
      </c>
      <c r="G76" s="5" t="str">
        <f>IFERROR(__xludf.DUMMYFUNCTION("""COMPUTED_VALUE"""),"Manajemen")</f>
        <v>Manajemen</v>
      </c>
      <c r="H76" s="10" t="str">
        <f>IFERROR(__xludf.DUMMYFUNCTION("""COMPUTED_VALUE"""),"Mahasiswa")</f>
        <v>Mahasiswa</v>
      </c>
      <c r="I76" s="6" t="str">
        <f>IFERROR(__xludf.DUMMYFUNCTION("""COMPUTED_VALUE"""),"Angga Kusuma")</f>
        <v>Angga Kusuma</v>
      </c>
      <c r="J76" s="6" t="str">
        <f>IFERROR(__xludf.DUMMYFUNCTION("""COMPUTED_VALUE"""),"Hestin")</f>
        <v>Hestin</v>
      </c>
      <c r="K76" s="6"/>
      <c r="L76" s="6"/>
      <c r="M76" s="6"/>
      <c r="N76" s="6"/>
      <c r="O76" s="6"/>
      <c r="P76" s="10" t="str">
        <f>IFERROR(__xludf.DUMMYFUNCTION("""COMPUTED_VALUE"""),"Angga Kusuma,Hestin,,")</f>
        <v>Angga Kusuma,Hestin,,</v>
      </c>
      <c r="Q76" s="6"/>
      <c r="R76" s="6"/>
    </row>
    <row r="77">
      <c r="A77" s="5">
        <f>IFERROR(__xludf.DUMMYFUNCTION("""COMPUTED_VALUE"""),76.0)</f>
        <v>76</v>
      </c>
      <c r="B77" s="6" t="str">
        <f>IFERROR(__xludf.DUMMYFUNCTION("""COMPUTED_VALUE"""),"PENGARUH KUALITAS PELAYANAN, HARGA DAN PROMOSI TERHADAP KEPUASAN PELANGGAN IIN SALON DI SURAKARTA")</f>
        <v>PENGARUH KUALITAS PELAYANAN, HARGA DAN PROMOSI TERHADAP KEPUASAN PELANGGAN IIN SALON DI SURAKARTA</v>
      </c>
      <c r="C77" s="7">
        <f>IFERROR(__xludf.DUMMYFUNCTION("""COMPUTED_VALUE"""),2021.0)</f>
        <v>2021</v>
      </c>
      <c r="D77" s="8" t="str">
        <f>IFERROR(__xludf.DUMMYFUNCTION("""COMPUTED_VALUE"""),"2021/2022")</f>
        <v>2021/2022</v>
      </c>
      <c r="E77" s="9">
        <f>IFERROR(__xludf.DUMMYFUNCTION("""COMPUTED_VALUE"""),44559.0)</f>
        <v>44559</v>
      </c>
      <c r="F77" s="5" t="str">
        <f>IFERROR(__xludf.DUMMYFUNCTION("""COMPUTED_VALUE"""),"Ganjil")</f>
        <v>Ganjil</v>
      </c>
      <c r="G77" s="5" t="str">
        <f>IFERROR(__xludf.DUMMYFUNCTION("""COMPUTED_VALUE"""),"Manajemen")</f>
        <v>Manajemen</v>
      </c>
      <c r="H77" s="10" t="str">
        <f>IFERROR(__xludf.DUMMYFUNCTION("""COMPUTED_VALUE"""),"Mahasiswa")</f>
        <v>Mahasiswa</v>
      </c>
      <c r="I77" s="6" t="str">
        <f>IFERROR(__xludf.DUMMYFUNCTION("""COMPUTED_VALUE"""),"Okti Dewi Sekarningrum")</f>
        <v>Okti Dewi Sekarningrum</v>
      </c>
      <c r="J77" s="6" t="str">
        <f>IFERROR(__xludf.DUMMYFUNCTION("""COMPUTED_VALUE"""),"Utomo Wibisono")</f>
        <v>Utomo Wibisono</v>
      </c>
      <c r="K77" s="6"/>
      <c r="L77" s="6"/>
      <c r="M77" s="6"/>
      <c r="N77" s="6"/>
      <c r="O77" s="6"/>
      <c r="P77" s="10" t="str">
        <f>IFERROR(__xludf.DUMMYFUNCTION("""COMPUTED_VALUE"""),"Okti Dewi Sekarningrum,Utomo Wibisono,,")</f>
        <v>Okti Dewi Sekarningrum,Utomo Wibisono,,</v>
      </c>
      <c r="Q77" s="6"/>
      <c r="R77" s="6"/>
    </row>
    <row r="78">
      <c r="A78" s="5">
        <f>IFERROR(__xludf.DUMMYFUNCTION("""COMPUTED_VALUE"""),77.0)</f>
        <v>77</v>
      </c>
      <c r="B78" s="6" t="str">
        <f>IFERROR(__xludf.DUMMYFUNCTION("""COMPUTED_VALUE"""),"PENGARUH KUALITAS PELAYANAN, HARGA, DAN CITRA MEREK TERHADAP KEPUASAN PELANGGANJASA TRANSPORTASI ONLINE GRAB")</f>
        <v>PENGARUH KUALITAS PELAYANAN, HARGA, DAN CITRA MEREK TERHADAP KEPUASAN PELANGGANJASA TRANSPORTASI ONLINE GRAB</v>
      </c>
      <c r="C78" s="7">
        <f>IFERROR(__xludf.DUMMYFUNCTION("""COMPUTED_VALUE"""),2021.0)</f>
        <v>2021</v>
      </c>
      <c r="D78" s="8" t="str">
        <f>IFERROR(__xludf.DUMMYFUNCTION("""COMPUTED_VALUE"""),"2021/2022")</f>
        <v>2021/2022</v>
      </c>
      <c r="E78" s="9">
        <f>IFERROR(__xludf.DUMMYFUNCTION("""COMPUTED_VALUE"""),44559.0)</f>
        <v>44559</v>
      </c>
      <c r="F78" s="5" t="str">
        <f>IFERROR(__xludf.DUMMYFUNCTION("""COMPUTED_VALUE"""),"Ganjil")</f>
        <v>Ganjil</v>
      </c>
      <c r="G78" s="5" t="str">
        <f>IFERROR(__xludf.DUMMYFUNCTION("""COMPUTED_VALUE"""),"Manajemen")</f>
        <v>Manajemen</v>
      </c>
      <c r="H78" s="10" t="str">
        <f>IFERROR(__xludf.DUMMYFUNCTION("""COMPUTED_VALUE"""),"Mahasiswa")</f>
        <v>Mahasiswa</v>
      </c>
      <c r="I78" s="6" t="str">
        <f>IFERROR(__xludf.DUMMYFUNCTION("""COMPUTED_VALUE"""),"Steffany Revina Wulandari")</f>
        <v>Steffany Revina Wulandari</v>
      </c>
      <c r="J78" s="6" t="str">
        <f>IFERROR(__xludf.DUMMYFUNCTION("""COMPUTED_VALUE"""),"Ari Susanti")</f>
        <v>Ari Susanti</v>
      </c>
      <c r="K78" s="6"/>
      <c r="L78" s="6"/>
      <c r="M78" s="6"/>
      <c r="N78" s="6"/>
      <c r="O78" s="6"/>
      <c r="P78" s="10" t="str">
        <f>IFERROR(__xludf.DUMMYFUNCTION("""COMPUTED_VALUE"""),"Steffany Revina Wulandari,Ari Susanti,,")</f>
        <v>Steffany Revina Wulandari,Ari Susanti,,</v>
      </c>
      <c r="Q78" s="11" t="str">
        <f>IFERROR(__xludf.DUMMYFUNCTION("""COMPUTED_VALUE"""),"https://journal.universitasbumigora.ac.id/index.php/target/article/view/1169")</f>
        <v>https://journal.universitasbumigora.ac.id/index.php/target/article/view/1169</v>
      </c>
      <c r="R78" s="6"/>
    </row>
    <row r="79">
      <c r="A79" s="5">
        <f>IFERROR(__xludf.DUMMYFUNCTION("""COMPUTED_VALUE"""),78.0)</f>
        <v>78</v>
      </c>
      <c r="B79" s="6" t="str">
        <f>IFERROR(__xludf.DUMMYFUNCTION("""COMPUTED_VALUE"""),"PENGARUH KUALITAS PELAYANAN, HARGA, FASILITAS TERHADAP KEPUASAN PELANGGAN J&amp;T EXPRESS CP UMS")</f>
        <v>PENGARUH KUALITAS PELAYANAN, HARGA, FASILITAS TERHADAP KEPUASAN PELANGGAN J&amp;T EXPRESS CP UMS</v>
      </c>
      <c r="C79" s="7">
        <f>IFERROR(__xludf.DUMMYFUNCTION("""COMPUTED_VALUE"""),2021.0)</f>
        <v>2021</v>
      </c>
      <c r="D79" s="8" t="str">
        <f>IFERROR(__xludf.DUMMYFUNCTION("""COMPUTED_VALUE"""),"2021/2022")</f>
        <v>2021/2022</v>
      </c>
      <c r="E79" s="9">
        <f>IFERROR(__xludf.DUMMYFUNCTION("""COMPUTED_VALUE"""),44559.0)</f>
        <v>44559</v>
      </c>
      <c r="F79" s="5" t="str">
        <f>IFERROR(__xludf.DUMMYFUNCTION("""COMPUTED_VALUE"""),"Ganjil")</f>
        <v>Ganjil</v>
      </c>
      <c r="G79" s="5" t="str">
        <f>IFERROR(__xludf.DUMMYFUNCTION("""COMPUTED_VALUE"""),"Manajemen")</f>
        <v>Manajemen</v>
      </c>
      <c r="H79" s="10" t="str">
        <f>IFERROR(__xludf.DUMMYFUNCTION("""COMPUTED_VALUE"""),"Mahasiswa")</f>
        <v>Mahasiswa</v>
      </c>
      <c r="I79" s="6" t="str">
        <f>IFERROR(__xludf.DUMMYFUNCTION("""COMPUTED_VALUE"""),"Alex Setiawan")</f>
        <v>Alex Setiawan</v>
      </c>
      <c r="J79" s="6" t="str">
        <f>IFERROR(__xludf.DUMMYFUNCTION("""COMPUTED_VALUE"""),"Hestin")</f>
        <v>Hestin</v>
      </c>
      <c r="K79" s="6"/>
      <c r="L79" s="6"/>
      <c r="M79" s="6"/>
      <c r="N79" s="6"/>
      <c r="O79" s="6"/>
      <c r="P79" s="10" t="str">
        <f>IFERROR(__xludf.DUMMYFUNCTION("""COMPUTED_VALUE"""),"Alex Setiawan,Hestin,,")</f>
        <v>Alex Setiawan,Hestin,,</v>
      </c>
      <c r="Q79" s="11" t="str">
        <f>IFERROR(__xludf.DUMMYFUNCTION("""COMPUTED_VALUE"""),"http://jurnal.unsil.ac.id/index.php/jem/author/submission/3696")</f>
        <v>http://jurnal.unsil.ac.id/index.php/jem/author/submission/3696</v>
      </c>
      <c r="R79" s="6"/>
    </row>
    <row r="80">
      <c r="A80" s="5">
        <f>IFERROR(__xludf.DUMMYFUNCTION("""COMPUTED_VALUE"""),79.0)</f>
        <v>79</v>
      </c>
      <c r="B80" s="6" t="str">
        <f>IFERROR(__xludf.DUMMYFUNCTION("""COMPUTED_VALUE"""),"Pengaruh Kualitas Pelayanan, Lokasi, dan Harga Terhadap Keputusan Pembelian di Alfamart (Studi Kasus pada Konsumen Alfamart di Dukuh, Kecamatan Banyudono, Boyolali)")</f>
        <v>Pengaruh Kualitas Pelayanan, Lokasi, dan Harga Terhadap Keputusan Pembelian di Alfamart (Studi Kasus pada Konsumen Alfamart di Dukuh, Kecamatan Banyudono, Boyolali)</v>
      </c>
      <c r="C80" s="7">
        <f>IFERROR(__xludf.DUMMYFUNCTION("""COMPUTED_VALUE"""),2021.0)</f>
        <v>2021</v>
      </c>
      <c r="D80" s="8" t="str">
        <f>IFERROR(__xludf.DUMMYFUNCTION("""COMPUTED_VALUE"""),"2021/2022")</f>
        <v>2021/2022</v>
      </c>
      <c r="E80" s="9">
        <f>IFERROR(__xludf.DUMMYFUNCTION("""COMPUTED_VALUE"""),44559.0)</f>
        <v>44559</v>
      </c>
      <c r="F80" s="5" t="str">
        <f>IFERROR(__xludf.DUMMYFUNCTION("""COMPUTED_VALUE"""),"Ganjil")</f>
        <v>Ganjil</v>
      </c>
      <c r="G80" s="5" t="str">
        <f>IFERROR(__xludf.DUMMYFUNCTION("""COMPUTED_VALUE"""),"Manajemen")</f>
        <v>Manajemen</v>
      </c>
      <c r="H80" s="10" t="str">
        <f>IFERROR(__xludf.DUMMYFUNCTION("""COMPUTED_VALUE"""),"Mahasiswa")</f>
        <v>Mahasiswa</v>
      </c>
      <c r="I80" s="6" t="str">
        <f>IFERROR(__xludf.DUMMYFUNCTION("""COMPUTED_VALUE"""),"Hidayat Margiyanto")</f>
        <v>Hidayat Margiyanto</v>
      </c>
      <c r="J80" s="6" t="str">
        <f>IFERROR(__xludf.DUMMYFUNCTION("""COMPUTED_VALUE"""),"Utomo Wibisono")</f>
        <v>Utomo Wibisono</v>
      </c>
      <c r="K80" s="6"/>
      <c r="L80" s="6"/>
      <c r="M80" s="6"/>
      <c r="N80" s="6"/>
      <c r="O80" s="6"/>
      <c r="P80" s="10" t="str">
        <f>IFERROR(__xludf.DUMMYFUNCTION("""COMPUTED_VALUE"""),"Hidayat Margiyanto,Utomo Wibisono,,")</f>
        <v>Hidayat Margiyanto,Utomo Wibisono,,</v>
      </c>
      <c r="Q80" s="6"/>
      <c r="R80" s="6"/>
    </row>
    <row r="81">
      <c r="A81" s="5">
        <f>IFERROR(__xludf.DUMMYFUNCTION("""COMPUTED_VALUE"""),80.0)</f>
        <v>80</v>
      </c>
      <c r="B81" s="6" t="str">
        <f>IFERROR(__xludf.DUMMYFUNCTION("""COMPUTED_VALUE"""),"PENGARUH KUALITAS PRODUK, CITRA MEREK DAN HARGA TERHADAP KEPUTUSAN PEMBELIAN SMARTPHONE OPPO")</f>
        <v>PENGARUH KUALITAS PRODUK, CITRA MEREK DAN HARGA TERHADAP KEPUTUSAN PEMBELIAN SMARTPHONE OPPO</v>
      </c>
      <c r="C81" s="7">
        <f>IFERROR(__xludf.DUMMYFUNCTION("""COMPUTED_VALUE"""),2021.0)</f>
        <v>2021</v>
      </c>
      <c r="D81" s="8" t="str">
        <f>IFERROR(__xludf.DUMMYFUNCTION("""COMPUTED_VALUE"""),"2021/2022")</f>
        <v>2021/2022</v>
      </c>
      <c r="E81" s="9">
        <f>IFERROR(__xludf.DUMMYFUNCTION("""COMPUTED_VALUE"""),44559.0)</f>
        <v>44559</v>
      </c>
      <c r="F81" s="5" t="str">
        <f>IFERROR(__xludf.DUMMYFUNCTION("""COMPUTED_VALUE"""),"Ganjil")</f>
        <v>Ganjil</v>
      </c>
      <c r="G81" s="5" t="str">
        <f>IFERROR(__xludf.DUMMYFUNCTION("""COMPUTED_VALUE"""),"Manajemen")</f>
        <v>Manajemen</v>
      </c>
      <c r="H81" s="10" t="str">
        <f>IFERROR(__xludf.DUMMYFUNCTION("""COMPUTED_VALUE"""),"Mahasiswa")</f>
        <v>Mahasiswa</v>
      </c>
      <c r="I81" s="6" t="str">
        <f>IFERROR(__xludf.DUMMYFUNCTION("""COMPUTED_VALUE"""),"Annisa Angga Dewi")</f>
        <v>Annisa Angga Dewi</v>
      </c>
      <c r="J81" s="6" t="str">
        <f>IFERROR(__xludf.DUMMYFUNCTION("""COMPUTED_VALUE"""),"Utomo Wibisono")</f>
        <v>Utomo Wibisono</v>
      </c>
      <c r="K81" s="6"/>
      <c r="L81" s="6"/>
      <c r="M81" s="6"/>
      <c r="N81" s="6"/>
      <c r="O81" s="6"/>
      <c r="P81" s="10" t="str">
        <f>IFERROR(__xludf.DUMMYFUNCTION("""COMPUTED_VALUE"""),"Annisa Angga Dewi,Utomo Wibisono,,")</f>
        <v>Annisa Angga Dewi,Utomo Wibisono,,</v>
      </c>
      <c r="Q81" s="6"/>
      <c r="R81" s="6"/>
    </row>
    <row r="82">
      <c r="A82" s="5">
        <f>IFERROR(__xludf.DUMMYFUNCTION("""COMPUTED_VALUE"""),81.0)</f>
        <v>81</v>
      </c>
      <c r="B82" s="6" t="str">
        <f>IFERROR(__xludf.DUMMYFUNCTION("""COMPUTED_VALUE"""),"PENGARUH KUALITAS PRODUK, HARGA DAN PROMOSI TERHADAP KEPUTUSAN PEMBELIAN PRODUK FASHION DI TOKO ELLYN")</f>
        <v>PENGARUH KUALITAS PRODUK, HARGA DAN PROMOSI TERHADAP KEPUTUSAN PEMBELIAN PRODUK FASHION DI TOKO ELLYN</v>
      </c>
      <c r="C82" s="7">
        <f>IFERROR(__xludf.DUMMYFUNCTION("""COMPUTED_VALUE"""),2021.0)</f>
        <v>2021</v>
      </c>
      <c r="D82" s="8" t="str">
        <f>IFERROR(__xludf.DUMMYFUNCTION("""COMPUTED_VALUE"""),"2021/2022")</f>
        <v>2021/2022</v>
      </c>
      <c r="E82" s="9">
        <f>IFERROR(__xludf.DUMMYFUNCTION("""COMPUTED_VALUE"""),44559.0)</f>
        <v>44559</v>
      </c>
      <c r="F82" s="5" t="str">
        <f>IFERROR(__xludf.DUMMYFUNCTION("""COMPUTED_VALUE"""),"Ganjil")</f>
        <v>Ganjil</v>
      </c>
      <c r="G82" s="5" t="str">
        <f>IFERROR(__xludf.DUMMYFUNCTION("""COMPUTED_VALUE"""),"Akuntansi")</f>
        <v>Akuntansi</v>
      </c>
      <c r="H82" s="10" t="str">
        <f>IFERROR(__xludf.DUMMYFUNCTION("""COMPUTED_VALUE"""),"Mahasiswa")</f>
        <v>Mahasiswa</v>
      </c>
      <c r="I82" s="6" t="str">
        <f>IFERROR(__xludf.DUMMYFUNCTION("""COMPUTED_VALUE"""),"Yana Dwi Lestari")</f>
        <v>Yana Dwi Lestari</v>
      </c>
      <c r="J82" s="6" t="str">
        <f>IFERROR(__xludf.DUMMYFUNCTION("""COMPUTED_VALUE"""),"Pardi")</f>
        <v>Pardi</v>
      </c>
      <c r="K82" s="6"/>
      <c r="L82" s="6"/>
      <c r="M82" s="6"/>
      <c r="N82" s="6"/>
      <c r="O82" s="6"/>
      <c r="P82" s="10" t="str">
        <f>IFERROR(__xludf.DUMMYFUNCTION("""COMPUTED_VALUE"""),"Yana Dwi Lestari,Pardi,,")</f>
        <v>Yana Dwi Lestari,Pardi,,</v>
      </c>
      <c r="Q82" s="11" t="str">
        <f>IFERROR(__xludf.DUMMYFUNCTION("""COMPUTED_VALUE"""),"http://jurnal.unsil.ac.id/index.php/jem")</f>
        <v>http://jurnal.unsil.ac.id/index.php/jem</v>
      </c>
      <c r="R82" s="6"/>
    </row>
    <row r="83">
      <c r="A83" s="5">
        <f>IFERROR(__xludf.DUMMYFUNCTION("""COMPUTED_VALUE"""),82.0)</f>
        <v>82</v>
      </c>
      <c r="B83" s="6" t="str">
        <f>IFERROR(__xludf.DUMMYFUNCTION("""COMPUTED_VALUE"""),"PENGARUH KUALITAS PRODUK, HARGA, DAN E-WOM TERHADAP KEPUTUSAN PEMBELIAN PRODUK FASHION DI MARKETPLACE SHOPEE")</f>
        <v>PENGARUH KUALITAS PRODUK, HARGA, DAN E-WOM TERHADAP KEPUTUSAN PEMBELIAN PRODUK FASHION DI MARKETPLACE SHOPEE</v>
      </c>
      <c r="C83" s="7">
        <f>IFERROR(__xludf.DUMMYFUNCTION("""COMPUTED_VALUE"""),2021.0)</f>
        <v>2021</v>
      </c>
      <c r="D83" s="8" t="str">
        <f>IFERROR(__xludf.DUMMYFUNCTION("""COMPUTED_VALUE"""),"2021/2022")</f>
        <v>2021/2022</v>
      </c>
      <c r="E83" s="9">
        <f>IFERROR(__xludf.DUMMYFUNCTION("""COMPUTED_VALUE"""),44559.0)</f>
        <v>44559</v>
      </c>
      <c r="F83" s="5" t="str">
        <f>IFERROR(__xludf.DUMMYFUNCTION("""COMPUTED_VALUE"""),"Ganjil")</f>
        <v>Ganjil</v>
      </c>
      <c r="G83" s="5" t="str">
        <f>IFERROR(__xludf.DUMMYFUNCTION("""COMPUTED_VALUE"""),"Manajemen")</f>
        <v>Manajemen</v>
      </c>
      <c r="H83" s="10" t="str">
        <f>IFERROR(__xludf.DUMMYFUNCTION("""COMPUTED_VALUE"""),"Mahasiswa")</f>
        <v>Mahasiswa</v>
      </c>
      <c r="I83" s="6" t="str">
        <f>IFERROR(__xludf.DUMMYFUNCTION("""COMPUTED_VALUE"""),"Anisya Edlin")</f>
        <v>Anisya Edlin</v>
      </c>
      <c r="J83" s="6" t="str">
        <f>IFERROR(__xludf.DUMMYFUNCTION("""COMPUTED_VALUE"""),"Budi Istiyanto")</f>
        <v>Budi Istiyanto</v>
      </c>
      <c r="K83" s="6"/>
      <c r="L83" s="6"/>
      <c r="M83" s="6"/>
      <c r="N83" s="6"/>
      <c r="O83" s="6"/>
      <c r="P83" s="10" t="str">
        <f>IFERROR(__xludf.DUMMYFUNCTION("""COMPUTED_VALUE"""),"Anisya Edlin,Budi Istiyanto,,")</f>
        <v>Anisya Edlin,Budi Istiyanto,,</v>
      </c>
      <c r="Q83" s="6"/>
      <c r="R83" s="6"/>
    </row>
    <row r="84">
      <c r="A84" s="5">
        <f>IFERROR(__xludf.DUMMYFUNCTION("""COMPUTED_VALUE"""),83.0)</f>
        <v>83</v>
      </c>
      <c r="B84" s="6" t="str">
        <f>IFERROR(__xludf.DUMMYFUNCTION("""COMPUTED_VALUE"""),"PENGARUH KUALITAS PRODUK, HARGA, DAN KUALITAS PELAYANAN TERHADAP KEPUASAN KONSUMEN PADA CAFE KO.WE.COK DI SOLO")</f>
        <v>PENGARUH KUALITAS PRODUK, HARGA, DAN KUALITAS PELAYANAN TERHADAP KEPUASAN KONSUMEN PADA CAFE KO.WE.COK DI SOLO</v>
      </c>
      <c r="C84" s="7">
        <f>IFERROR(__xludf.DUMMYFUNCTION("""COMPUTED_VALUE"""),2021.0)</f>
        <v>2021</v>
      </c>
      <c r="D84" s="8" t="str">
        <f>IFERROR(__xludf.DUMMYFUNCTION("""COMPUTED_VALUE"""),"2021/2022")</f>
        <v>2021/2022</v>
      </c>
      <c r="E84" s="9">
        <f>IFERROR(__xludf.DUMMYFUNCTION("""COMPUTED_VALUE"""),44559.0)</f>
        <v>44559</v>
      </c>
      <c r="F84" s="5" t="str">
        <f>IFERROR(__xludf.DUMMYFUNCTION("""COMPUTED_VALUE"""),"Ganjil")</f>
        <v>Ganjil</v>
      </c>
      <c r="G84" s="5" t="str">
        <f>IFERROR(__xludf.DUMMYFUNCTION("""COMPUTED_VALUE"""),"Manajemen")</f>
        <v>Manajemen</v>
      </c>
      <c r="H84" s="10" t="str">
        <f>IFERROR(__xludf.DUMMYFUNCTION("""COMPUTED_VALUE"""),"Mahasiswa")</f>
        <v>Mahasiswa</v>
      </c>
      <c r="I84" s="6" t="str">
        <f>IFERROR(__xludf.DUMMYFUNCTION("""COMPUTED_VALUE"""),"Evi Laili Kumrotin")</f>
        <v>Evi Laili Kumrotin</v>
      </c>
      <c r="J84" s="6" t="str">
        <f>IFERROR(__xludf.DUMMYFUNCTION("""COMPUTED_VALUE"""),"Ari Susanti")</f>
        <v>Ari Susanti</v>
      </c>
      <c r="K84" s="6"/>
      <c r="L84" s="6"/>
      <c r="M84" s="6"/>
      <c r="N84" s="6"/>
      <c r="O84" s="6"/>
      <c r="P84" s="10" t="str">
        <f>IFERROR(__xludf.DUMMYFUNCTION("""COMPUTED_VALUE"""),"Evi Laili Kumrotin,Ari Susanti,,")</f>
        <v>Evi Laili Kumrotin,Ari Susanti,,</v>
      </c>
      <c r="Q84" s="11" t="str">
        <f>IFERROR(__xludf.DUMMYFUNCTION("""COMPUTED_VALUE"""),"https://ojs.unimal.ac.id/jmi/article/view/4870")</f>
        <v>https://ojs.unimal.ac.id/jmi/article/view/4870</v>
      </c>
      <c r="R84" s="6"/>
    </row>
    <row r="85">
      <c r="A85" s="5">
        <f>IFERROR(__xludf.DUMMYFUNCTION("""COMPUTED_VALUE"""),84.0)</f>
        <v>84</v>
      </c>
      <c r="B85" s="6" t="str">
        <f>IFERROR(__xludf.DUMMYFUNCTION("""COMPUTED_VALUE"""),"PENGARUH KUALITAS PRODUK, HARGA, PELAYANAN DAN PROMOSI TERHADAP KEPUTUSAN PEMBELIAN JAKET ARLINAX BULLS SYNDICATE DI SURAKARTA")</f>
        <v>PENGARUH KUALITAS PRODUK, HARGA, PELAYANAN DAN PROMOSI TERHADAP KEPUTUSAN PEMBELIAN JAKET ARLINAX BULLS SYNDICATE DI SURAKARTA</v>
      </c>
      <c r="C85" s="7">
        <f>IFERROR(__xludf.DUMMYFUNCTION("""COMPUTED_VALUE"""),2021.0)</f>
        <v>2021</v>
      </c>
      <c r="D85" s="8" t="str">
        <f>IFERROR(__xludf.DUMMYFUNCTION("""COMPUTED_VALUE"""),"2021/2022")</f>
        <v>2021/2022</v>
      </c>
      <c r="E85" s="9">
        <f>IFERROR(__xludf.DUMMYFUNCTION("""COMPUTED_VALUE"""),44559.0)</f>
        <v>44559</v>
      </c>
      <c r="F85" s="5" t="str">
        <f>IFERROR(__xludf.DUMMYFUNCTION("""COMPUTED_VALUE"""),"Ganjil")</f>
        <v>Ganjil</v>
      </c>
      <c r="G85" s="5" t="str">
        <f>IFERROR(__xludf.DUMMYFUNCTION("""COMPUTED_VALUE"""),"Manajemen")</f>
        <v>Manajemen</v>
      </c>
      <c r="H85" s="10" t="str">
        <f>IFERROR(__xludf.DUMMYFUNCTION("""COMPUTED_VALUE"""),"Mahasiswa")</f>
        <v>Mahasiswa</v>
      </c>
      <c r="I85" s="6" t="str">
        <f>IFERROR(__xludf.DUMMYFUNCTION("""COMPUTED_VALUE"""),"Wika Damayanti")</f>
        <v>Wika Damayanti</v>
      </c>
      <c r="J85" s="6" t="str">
        <f>IFERROR(__xludf.DUMMYFUNCTION("""COMPUTED_VALUE"""),"Christiawan Hendratmoko")</f>
        <v>Christiawan Hendratmoko</v>
      </c>
      <c r="K85" s="6"/>
      <c r="L85" s="6"/>
      <c r="M85" s="6"/>
      <c r="N85" s="6"/>
      <c r="O85" s="6"/>
      <c r="P85" s="10" t="str">
        <f>IFERROR(__xludf.DUMMYFUNCTION("""COMPUTED_VALUE"""),"Wika Damayanti,Christiawan Hendratmoko,,")</f>
        <v>Wika Damayanti,Christiawan Hendratmoko,,</v>
      </c>
      <c r="Q85" s="11" t="str">
        <f>IFERROR(__xludf.DUMMYFUNCTION("""COMPUTED_VALUE"""),"https://journal.uniku.ac.id/index.php/ijsm/article/view/4059")</f>
        <v>https://journal.uniku.ac.id/index.php/ijsm/article/view/4059</v>
      </c>
      <c r="R85" s="6"/>
    </row>
    <row r="86">
      <c r="A86" s="5">
        <f>IFERROR(__xludf.DUMMYFUNCTION("""COMPUTED_VALUE"""),85.0)</f>
        <v>85</v>
      </c>
      <c r="B86" s="6" t="str">
        <f>IFERROR(__xludf.DUMMYFUNCTION("""COMPUTED_VALUE"""),"PENGARUH KUALITAS PRODUK, KUALITAS PELAYANAN, SIKAP EMOSIONAL, DAN HARGA PADA KEPUASAN PELANGGAN (Waroeng Spesial Sambal Solobaru)")</f>
        <v>PENGARUH KUALITAS PRODUK, KUALITAS PELAYANAN, SIKAP EMOSIONAL, DAN HARGA PADA KEPUASAN PELANGGAN (Waroeng Spesial Sambal Solobaru)</v>
      </c>
      <c r="C86" s="7">
        <f>IFERROR(__xludf.DUMMYFUNCTION("""COMPUTED_VALUE"""),2021.0)</f>
        <v>2021</v>
      </c>
      <c r="D86" s="8" t="str">
        <f>IFERROR(__xludf.DUMMYFUNCTION("""COMPUTED_VALUE"""),"2021/2022")</f>
        <v>2021/2022</v>
      </c>
      <c r="E86" s="9">
        <f>IFERROR(__xludf.DUMMYFUNCTION("""COMPUTED_VALUE"""),44559.0)</f>
        <v>44559</v>
      </c>
      <c r="F86" s="5" t="str">
        <f>IFERROR(__xludf.DUMMYFUNCTION("""COMPUTED_VALUE"""),"Ganjil")</f>
        <v>Ganjil</v>
      </c>
      <c r="G86" s="5" t="str">
        <f>IFERROR(__xludf.DUMMYFUNCTION("""COMPUTED_VALUE"""),"Akuntansi")</f>
        <v>Akuntansi</v>
      </c>
      <c r="H86" s="10" t="str">
        <f>IFERROR(__xludf.DUMMYFUNCTION("""COMPUTED_VALUE"""),"Mahasiswa")</f>
        <v>Mahasiswa</v>
      </c>
      <c r="I86" s="6" t="str">
        <f>IFERROR(__xludf.DUMMYFUNCTION("""COMPUTED_VALUE"""),"Indah Arum Leksonowati")</f>
        <v>Indah Arum Leksonowati</v>
      </c>
      <c r="J86" s="6" t="str">
        <f>IFERROR(__xludf.DUMMYFUNCTION("""COMPUTED_VALUE"""),"Pardi")</f>
        <v>Pardi</v>
      </c>
      <c r="K86" s="6"/>
      <c r="L86" s="6"/>
      <c r="M86" s="6"/>
      <c r="N86" s="6"/>
      <c r="O86" s="6"/>
      <c r="P86" s="10" t="str">
        <f>IFERROR(__xludf.DUMMYFUNCTION("""COMPUTED_VALUE"""),"Indah Arum Leksonowati,Pardi,,")</f>
        <v>Indah Arum Leksonowati,Pardi,,</v>
      </c>
      <c r="Q86" s="6"/>
      <c r="R86" s="6"/>
    </row>
    <row r="87">
      <c r="A87" s="5">
        <f>IFERROR(__xludf.DUMMYFUNCTION("""COMPUTED_VALUE"""),86.0)</f>
        <v>86</v>
      </c>
      <c r="B87" s="6" t="str">
        <f>IFERROR(__xludf.DUMMYFUNCTION("""COMPUTED_VALUE"""),"PENGARUH KUALITAS PRODUK, MEREK, DAN HARGA TERHADAP KEPUTUSAN PEMBELIAN PASTA GIGI PEPSODENT")</f>
        <v>PENGARUH KUALITAS PRODUK, MEREK, DAN HARGA TERHADAP KEPUTUSAN PEMBELIAN PASTA GIGI PEPSODENT</v>
      </c>
      <c r="C87" s="7">
        <f>IFERROR(__xludf.DUMMYFUNCTION("""COMPUTED_VALUE"""),2021.0)</f>
        <v>2021</v>
      </c>
      <c r="D87" s="8" t="str">
        <f>IFERROR(__xludf.DUMMYFUNCTION("""COMPUTED_VALUE"""),"2021/2022")</f>
        <v>2021/2022</v>
      </c>
      <c r="E87" s="9">
        <f>IFERROR(__xludf.DUMMYFUNCTION("""COMPUTED_VALUE"""),44559.0)</f>
        <v>44559</v>
      </c>
      <c r="F87" s="5" t="str">
        <f>IFERROR(__xludf.DUMMYFUNCTION("""COMPUTED_VALUE"""),"Ganjil")</f>
        <v>Ganjil</v>
      </c>
      <c r="G87" s="5" t="str">
        <f>IFERROR(__xludf.DUMMYFUNCTION("""COMPUTED_VALUE"""),"Manajemen")</f>
        <v>Manajemen</v>
      </c>
      <c r="H87" s="10" t="str">
        <f>IFERROR(__xludf.DUMMYFUNCTION("""COMPUTED_VALUE"""),"Mahasiswa")</f>
        <v>Mahasiswa</v>
      </c>
      <c r="I87" s="6" t="str">
        <f>IFERROR(__xludf.DUMMYFUNCTION("""COMPUTED_VALUE"""),"Deareza Windora")</f>
        <v>Deareza Windora</v>
      </c>
      <c r="J87" s="6" t="str">
        <f>IFERROR(__xludf.DUMMYFUNCTION("""COMPUTED_VALUE"""),"Heny Kurnianingsih")</f>
        <v>Heny Kurnianingsih</v>
      </c>
      <c r="K87" s="6"/>
      <c r="L87" s="6"/>
      <c r="M87" s="6"/>
      <c r="N87" s="6"/>
      <c r="O87" s="6"/>
      <c r="P87" s="10" t="str">
        <f>IFERROR(__xludf.DUMMYFUNCTION("""COMPUTED_VALUE"""),"Deareza Windora,Heny Kurnianingsih,,")</f>
        <v>Deareza Windora,Heny Kurnianingsih,,</v>
      </c>
      <c r="Q87" s="6"/>
      <c r="R87" s="6"/>
    </row>
    <row r="88">
      <c r="A88" s="5">
        <f>IFERROR(__xludf.DUMMYFUNCTION("""COMPUTED_VALUE"""),87.0)</f>
        <v>87</v>
      </c>
      <c r="B88" s="6" t="str">
        <f>IFERROR(__xludf.DUMMYFUNCTION("""COMPUTED_VALUE"""),"Pengaruh Kualitas Produk, Promosi dan Brand Image Terhadap Keputusan Pembelian Smartphone Vivo di Soloraya")</f>
        <v>Pengaruh Kualitas Produk, Promosi dan Brand Image Terhadap Keputusan Pembelian Smartphone Vivo di Soloraya</v>
      </c>
      <c r="C88" s="7">
        <f>IFERROR(__xludf.DUMMYFUNCTION("""COMPUTED_VALUE"""),2021.0)</f>
        <v>2021</v>
      </c>
      <c r="D88" s="8" t="str">
        <f>IFERROR(__xludf.DUMMYFUNCTION("""COMPUTED_VALUE"""),"2021/2022")</f>
        <v>2021/2022</v>
      </c>
      <c r="E88" s="9">
        <f>IFERROR(__xludf.DUMMYFUNCTION("""COMPUTED_VALUE"""),44559.0)</f>
        <v>44559</v>
      </c>
      <c r="F88" s="5" t="str">
        <f>IFERROR(__xludf.DUMMYFUNCTION("""COMPUTED_VALUE"""),"Ganjil")</f>
        <v>Ganjil</v>
      </c>
      <c r="G88" s="5" t="str">
        <f>IFERROR(__xludf.DUMMYFUNCTION("""COMPUTED_VALUE"""),"Manajemen")</f>
        <v>Manajemen</v>
      </c>
      <c r="H88" s="10" t="str">
        <f>IFERROR(__xludf.DUMMYFUNCTION("""COMPUTED_VALUE"""),"Mahasiswa")</f>
        <v>Mahasiswa</v>
      </c>
      <c r="I88" s="6" t="str">
        <f>IFERROR(__xludf.DUMMYFUNCTION("""COMPUTED_VALUE"""),"Tiara Puspita")</f>
        <v>Tiara Puspita</v>
      </c>
      <c r="J88" s="6" t="str">
        <f>IFERROR(__xludf.DUMMYFUNCTION("""COMPUTED_VALUE"""),"Heny Kurnianingsih")</f>
        <v>Heny Kurnianingsih</v>
      </c>
      <c r="K88" s="6"/>
      <c r="L88" s="6"/>
      <c r="M88" s="6"/>
      <c r="N88" s="6"/>
      <c r="O88" s="6"/>
      <c r="P88" s="10" t="str">
        <f>IFERROR(__xludf.DUMMYFUNCTION("""COMPUTED_VALUE"""),"Tiara Puspita,Heny Kurnianingsih,,")</f>
        <v>Tiara Puspita,Heny Kurnianingsih,,</v>
      </c>
      <c r="Q88" s="6"/>
      <c r="R88" s="6"/>
    </row>
    <row r="89">
      <c r="A89" s="5">
        <f>IFERROR(__xludf.DUMMYFUNCTION("""COMPUTED_VALUE"""),88.0)</f>
        <v>88</v>
      </c>
      <c r="B89" s="6" t="str">
        <f>IFERROR(__xludf.DUMMYFUNCTION("""COMPUTED_VALUE"""),"PENGARUH KUALITAS PRODUK, PROMOSI, CITRA MEREK TERHADAP KEPUTUSAN PEMBELIAN ULANG PADA TOKO BAJU COLORBOX")</f>
        <v>PENGARUH KUALITAS PRODUK, PROMOSI, CITRA MEREK TERHADAP KEPUTUSAN PEMBELIAN ULANG PADA TOKO BAJU COLORBOX</v>
      </c>
      <c r="C89" s="7">
        <f>IFERROR(__xludf.DUMMYFUNCTION("""COMPUTED_VALUE"""),2021.0)</f>
        <v>2021</v>
      </c>
      <c r="D89" s="8" t="str">
        <f>IFERROR(__xludf.DUMMYFUNCTION("""COMPUTED_VALUE"""),"2021/2022")</f>
        <v>2021/2022</v>
      </c>
      <c r="E89" s="9">
        <f>IFERROR(__xludf.DUMMYFUNCTION("""COMPUTED_VALUE"""),44559.0)</f>
        <v>44559</v>
      </c>
      <c r="F89" s="5" t="str">
        <f>IFERROR(__xludf.DUMMYFUNCTION("""COMPUTED_VALUE"""),"Ganjil")</f>
        <v>Ganjil</v>
      </c>
      <c r="G89" s="5" t="str">
        <f>IFERROR(__xludf.DUMMYFUNCTION("""COMPUTED_VALUE"""),"Manajemen")</f>
        <v>Manajemen</v>
      </c>
      <c r="H89" s="10" t="str">
        <f>IFERROR(__xludf.DUMMYFUNCTION("""COMPUTED_VALUE"""),"Mahasiswa")</f>
        <v>Mahasiswa</v>
      </c>
      <c r="I89" s="6" t="str">
        <f>IFERROR(__xludf.DUMMYFUNCTION("""COMPUTED_VALUE"""),"Bella Pramussila")</f>
        <v>Bella Pramussila</v>
      </c>
      <c r="J89" s="6" t="str">
        <f>IFERROR(__xludf.DUMMYFUNCTION("""COMPUTED_VALUE"""),"Ida Ayu Kade")</f>
        <v>Ida Ayu Kade</v>
      </c>
      <c r="K89" s="6"/>
      <c r="L89" s="6"/>
      <c r="M89" s="6"/>
      <c r="N89" s="6"/>
      <c r="O89" s="6"/>
      <c r="P89" s="10" t="str">
        <f>IFERROR(__xludf.DUMMYFUNCTION("""COMPUTED_VALUE"""),"Bella Pramussila,Ida Ayu Kade,,")</f>
        <v>Bella Pramussila,Ida Ayu Kade,,</v>
      </c>
      <c r="Q89" s="11" t="str">
        <f>IFERROR(__xludf.DUMMYFUNCTION("""COMPUTED_VALUE"""),"http://jurnal.unsil.ac.id/index.php/jem/author")</f>
        <v>http://jurnal.unsil.ac.id/index.php/jem/author</v>
      </c>
      <c r="R89" s="6"/>
    </row>
    <row r="90">
      <c r="A90" s="5">
        <f>IFERROR(__xludf.DUMMYFUNCTION("""COMPUTED_VALUE"""),89.0)</f>
        <v>89</v>
      </c>
      <c r="B90" s="6" t="str">
        <f>IFERROR(__xludf.DUMMYFUNCTION("""COMPUTED_VALUE"""),"PENGARUH KUALITAS PRODUK, PROMOSI, HARGA, DAN CITRA MERK TERHADAP KEPUTUSAN PEMBELIAN PRASASTIGRANITE SERVICE SOLO")</f>
        <v>PENGARUH KUALITAS PRODUK, PROMOSI, HARGA, DAN CITRA MERK TERHADAP KEPUTUSAN PEMBELIAN PRASASTIGRANITE SERVICE SOLO</v>
      </c>
      <c r="C90" s="7">
        <f>IFERROR(__xludf.DUMMYFUNCTION("""COMPUTED_VALUE"""),2021.0)</f>
        <v>2021</v>
      </c>
      <c r="D90" s="8" t="str">
        <f>IFERROR(__xludf.DUMMYFUNCTION("""COMPUTED_VALUE"""),"2021/2022")</f>
        <v>2021/2022</v>
      </c>
      <c r="E90" s="9">
        <f>IFERROR(__xludf.DUMMYFUNCTION("""COMPUTED_VALUE"""),44559.0)</f>
        <v>44559</v>
      </c>
      <c r="F90" s="5" t="str">
        <f>IFERROR(__xludf.DUMMYFUNCTION("""COMPUTED_VALUE"""),"Ganjil")</f>
        <v>Ganjil</v>
      </c>
      <c r="G90" s="5" t="str">
        <f>IFERROR(__xludf.DUMMYFUNCTION("""COMPUTED_VALUE"""),"Manajemen")</f>
        <v>Manajemen</v>
      </c>
      <c r="H90" s="10" t="str">
        <f>IFERROR(__xludf.DUMMYFUNCTION("""COMPUTED_VALUE"""),"Mahasiswa")</f>
        <v>Mahasiswa</v>
      </c>
      <c r="I90" s="6" t="str">
        <f>IFERROR(__xludf.DUMMYFUNCTION("""COMPUTED_VALUE"""),"Muhammad Alfian Chaerullah")</f>
        <v>Muhammad Alfian Chaerullah</v>
      </c>
      <c r="J90" s="6" t="str">
        <f>IFERROR(__xludf.DUMMYFUNCTION("""COMPUTED_VALUE"""),"Christiawan Hendratmoko")</f>
        <v>Christiawan Hendratmoko</v>
      </c>
      <c r="K90" s="6"/>
      <c r="L90" s="6"/>
      <c r="M90" s="6"/>
      <c r="N90" s="6"/>
      <c r="O90" s="6"/>
      <c r="P90" s="10" t="str">
        <f>IFERROR(__xludf.DUMMYFUNCTION("""COMPUTED_VALUE"""),"Muhammad Alfian Chaerullah,Christiawan Hendratmoko,,")</f>
        <v>Muhammad Alfian Chaerullah,Christiawan Hendratmoko,,</v>
      </c>
      <c r="Q90" s="6"/>
      <c r="R90" s="6"/>
    </row>
    <row r="91">
      <c r="A91" s="5">
        <f>IFERROR(__xludf.DUMMYFUNCTION("""COMPUTED_VALUE"""),90.0)</f>
        <v>90</v>
      </c>
      <c r="B91" s="6" t="str">
        <f>IFERROR(__xludf.DUMMYFUNCTION("""COMPUTED_VALUE"""),"pengaruh marketing mix terhadap keputusan pembelian jamu TRADISIONAL sabdo palon")</f>
        <v>pengaruh marketing mix terhadap keputusan pembelian jamu TRADISIONAL sabdo palon</v>
      </c>
      <c r="C91" s="7">
        <f>IFERROR(__xludf.DUMMYFUNCTION("""COMPUTED_VALUE"""),2021.0)</f>
        <v>2021</v>
      </c>
      <c r="D91" s="8" t="str">
        <f>IFERROR(__xludf.DUMMYFUNCTION("""COMPUTED_VALUE"""),"2021/2022")</f>
        <v>2021/2022</v>
      </c>
      <c r="E91" s="9">
        <f>IFERROR(__xludf.DUMMYFUNCTION("""COMPUTED_VALUE"""),44559.0)</f>
        <v>44559</v>
      </c>
      <c r="F91" s="5" t="str">
        <f>IFERROR(__xludf.DUMMYFUNCTION("""COMPUTED_VALUE"""),"Ganjil")</f>
        <v>Ganjil</v>
      </c>
      <c r="G91" s="5" t="str">
        <f>IFERROR(__xludf.DUMMYFUNCTION("""COMPUTED_VALUE"""),"Manajemen")</f>
        <v>Manajemen</v>
      </c>
      <c r="H91" s="10" t="str">
        <f>IFERROR(__xludf.DUMMYFUNCTION("""COMPUTED_VALUE"""),"Mahasiswa")</f>
        <v>Mahasiswa</v>
      </c>
      <c r="I91" s="6" t="str">
        <f>IFERROR(__xludf.DUMMYFUNCTION("""COMPUTED_VALUE"""),"Risa Afida Nuraini")</f>
        <v>Risa Afida Nuraini</v>
      </c>
      <c r="J91" s="6" t="str">
        <f>IFERROR(__xludf.DUMMYFUNCTION("""COMPUTED_VALUE"""),"Heny Kurnianingsih")</f>
        <v>Heny Kurnianingsih</v>
      </c>
      <c r="K91" s="6"/>
      <c r="L91" s="6"/>
      <c r="M91" s="6"/>
      <c r="N91" s="6"/>
      <c r="O91" s="6"/>
      <c r="P91" s="10" t="str">
        <f>IFERROR(__xludf.DUMMYFUNCTION("""COMPUTED_VALUE"""),"Risa Afida Nuraini,Heny Kurnianingsih,,")</f>
        <v>Risa Afida Nuraini,Heny Kurnianingsih,,</v>
      </c>
      <c r="Q91" s="11" t="str">
        <f>IFERROR(__xludf.DUMMYFUNCTION("""COMPUTED_VALUE"""),"https://iocscience.org/ejournal/index.php/mantik/article/view/1195")</f>
        <v>https://iocscience.org/ejournal/index.php/mantik/article/view/1195</v>
      </c>
      <c r="R91" s="6"/>
    </row>
    <row r="92">
      <c r="A92" s="5">
        <f>IFERROR(__xludf.DUMMYFUNCTION("""COMPUTED_VALUE"""),91.0)</f>
        <v>91</v>
      </c>
      <c r="B92" s="6" t="str">
        <f>IFERROR(__xludf.DUMMYFUNCTION("""COMPUTED_VALUE"""),"PENGARUH MOTIVASI, KOMPETENSI, DISIPLIN KERJA DAN LINGKUNGAN KERJA TERHADAP KINERJA KARYAWAN BIDANG PENDAPATAN DI BADAN PENGELOLAAN KEUANGAN DAN ASET DAERAH KOTA SURAKARTA")</f>
        <v>PENGARUH MOTIVASI, KOMPETENSI, DISIPLIN KERJA DAN LINGKUNGAN KERJA TERHADAP KINERJA KARYAWAN BIDANG PENDAPATAN DI BADAN PENGELOLAAN KEUANGAN DAN ASET DAERAH KOTA SURAKARTA</v>
      </c>
      <c r="C92" s="7">
        <f>IFERROR(__xludf.DUMMYFUNCTION("""COMPUTED_VALUE"""),2021.0)</f>
        <v>2021</v>
      </c>
      <c r="D92" s="8" t="str">
        <f>IFERROR(__xludf.DUMMYFUNCTION("""COMPUTED_VALUE"""),"2021/2022")</f>
        <v>2021/2022</v>
      </c>
      <c r="E92" s="9">
        <f>IFERROR(__xludf.DUMMYFUNCTION("""COMPUTED_VALUE"""),44559.0)</f>
        <v>44559</v>
      </c>
      <c r="F92" s="5" t="str">
        <f>IFERROR(__xludf.DUMMYFUNCTION("""COMPUTED_VALUE"""),"Ganjil")</f>
        <v>Ganjil</v>
      </c>
      <c r="G92" s="5" t="str">
        <f>IFERROR(__xludf.DUMMYFUNCTION("""COMPUTED_VALUE"""),"Manajemen")</f>
        <v>Manajemen</v>
      </c>
      <c r="H92" s="10" t="str">
        <f>IFERROR(__xludf.DUMMYFUNCTION("""COMPUTED_VALUE"""),"Mahasiswa")</f>
        <v>Mahasiswa</v>
      </c>
      <c r="I92" s="6" t="str">
        <f>IFERROR(__xludf.DUMMYFUNCTION("""COMPUTED_VALUE"""),"Rizky Atika Murti")</f>
        <v>Rizky Atika Murti</v>
      </c>
      <c r="J92" s="6" t="str">
        <f>IFERROR(__xludf.DUMMYFUNCTION("""COMPUTED_VALUE"""),"Hestin")</f>
        <v>Hestin</v>
      </c>
      <c r="K92" s="6"/>
      <c r="L92" s="6"/>
      <c r="M92" s="6"/>
      <c r="N92" s="6"/>
      <c r="O92" s="6"/>
      <c r="P92" s="10" t="str">
        <f>IFERROR(__xludf.DUMMYFUNCTION("""COMPUTED_VALUE"""),"Rizky Atika Murti,Hestin,,")</f>
        <v>Rizky Atika Murti,Hestin,,</v>
      </c>
      <c r="Q92" s="11" t="str">
        <f>IFERROR(__xludf.DUMMYFUNCTION("""COMPUTED_VALUE"""),"https://www.semanticscholar.org/paper/Pengaruh-Motivasi%2C-Kompetensi%2C-Disiplin-Kerja-dan-Murti-Mutmainah/a0fe8979e59b4e8a76fd28695e43bbdcdf67dabb?utm_source=direct_link")</f>
        <v>https://www.semanticscholar.org/paper/Pengaruh-Motivasi%2C-Kompetensi%2C-Disiplin-Kerja-dan-Murti-Mutmainah/a0fe8979e59b4e8a76fd28695e43bbdcdf67dabb?utm_source=direct_link</v>
      </c>
      <c r="R92" s="6"/>
    </row>
    <row r="93">
      <c r="A93" s="5">
        <f>IFERROR(__xludf.DUMMYFUNCTION("""COMPUTED_VALUE"""),92.0)</f>
        <v>92</v>
      </c>
      <c r="B93" s="6" t="str">
        <f>IFERROR(__xludf.DUMMYFUNCTION("""COMPUTED_VALUE"""),"PENGARUH PANIC BUYING, BAURAN PEMASARAN DAN CITRA MEREK TERHADAP KEPUTUSAN PEMBELIAN PRODUK HAND SANITIZER BRATAMED")</f>
        <v>PENGARUH PANIC BUYING, BAURAN PEMASARAN DAN CITRA MEREK TERHADAP KEPUTUSAN PEMBELIAN PRODUK HAND SANITIZER BRATAMED</v>
      </c>
      <c r="C93" s="7">
        <f>IFERROR(__xludf.DUMMYFUNCTION("""COMPUTED_VALUE"""),2021.0)</f>
        <v>2021</v>
      </c>
      <c r="D93" s="8" t="str">
        <f>IFERROR(__xludf.DUMMYFUNCTION("""COMPUTED_VALUE"""),"2021/2022")</f>
        <v>2021/2022</v>
      </c>
      <c r="E93" s="9">
        <f>IFERROR(__xludf.DUMMYFUNCTION("""COMPUTED_VALUE"""),44559.0)</f>
        <v>44559</v>
      </c>
      <c r="F93" s="5" t="str">
        <f>IFERROR(__xludf.DUMMYFUNCTION("""COMPUTED_VALUE"""),"Ganjil")</f>
        <v>Ganjil</v>
      </c>
      <c r="G93" s="5" t="str">
        <f>IFERROR(__xludf.DUMMYFUNCTION("""COMPUTED_VALUE"""),"Manajemen")</f>
        <v>Manajemen</v>
      </c>
      <c r="H93" s="10" t="str">
        <f>IFERROR(__xludf.DUMMYFUNCTION("""COMPUTED_VALUE"""),"Mahasiswa")</f>
        <v>Mahasiswa</v>
      </c>
      <c r="I93" s="6" t="str">
        <f>IFERROR(__xludf.DUMMYFUNCTION("""COMPUTED_VALUE"""),"Bonifasius Wisandono")</f>
        <v>Bonifasius Wisandono</v>
      </c>
      <c r="J93" s="6" t="str">
        <f>IFERROR(__xludf.DUMMYFUNCTION("""COMPUTED_VALUE"""),"Ida Ayu Kade")</f>
        <v>Ida Ayu Kade</v>
      </c>
      <c r="K93" s="6"/>
      <c r="L93" s="6"/>
      <c r="M93" s="6"/>
      <c r="N93" s="6"/>
      <c r="O93" s="6"/>
      <c r="P93" s="10" t="str">
        <f>IFERROR(__xludf.DUMMYFUNCTION("""COMPUTED_VALUE"""),"Bonifasius Wisandono,Ida Ayu Kade,,")</f>
        <v>Bonifasius Wisandono,Ida Ayu Kade,,</v>
      </c>
      <c r="Q93" s="6"/>
      <c r="R93" s="6"/>
    </row>
    <row r="94">
      <c r="A94" s="5">
        <f>IFERROR(__xludf.DUMMYFUNCTION("""COMPUTED_VALUE"""),93.0)</f>
        <v>93</v>
      </c>
      <c r="B94" s="6" t="str">
        <f>IFERROR(__xludf.DUMMYFUNCTION("""COMPUTED_VALUE"""),"PENGARUH PENGETAHUAN, KUALITAS PRODUK, DAN KESADARAN MERK TERHADAP KEPUTUSAN PEMBELIAN SUSU PRENAGEN DI WILAYAH SURAKARTA")</f>
        <v>PENGARUH PENGETAHUAN, KUALITAS PRODUK, DAN KESADARAN MERK TERHADAP KEPUTUSAN PEMBELIAN SUSU PRENAGEN DI WILAYAH SURAKARTA</v>
      </c>
      <c r="C94" s="7">
        <f>IFERROR(__xludf.DUMMYFUNCTION("""COMPUTED_VALUE"""),2021.0)</f>
        <v>2021</v>
      </c>
      <c r="D94" s="8" t="str">
        <f>IFERROR(__xludf.DUMMYFUNCTION("""COMPUTED_VALUE"""),"2021/2022")</f>
        <v>2021/2022</v>
      </c>
      <c r="E94" s="9">
        <f>IFERROR(__xludf.DUMMYFUNCTION("""COMPUTED_VALUE"""),44559.0)</f>
        <v>44559</v>
      </c>
      <c r="F94" s="5" t="str">
        <f>IFERROR(__xludf.DUMMYFUNCTION("""COMPUTED_VALUE"""),"Ganjil")</f>
        <v>Ganjil</v>
      </c>
      <c r="G94" s="5" t="str">
        <f>IFERROR(__xludf.DUMMYFUNCTION("""COMPUTED_VALUE"""),"Manajemen")</f>
        <v>Manajemen</v>
      </c>
      <c r="H94" s="10" t="str">
        <f>IFERROR(__xludf.DUMMYFUNCTION("""COMPUTED_VALUE"""),"Mahasiswa")</f>
        <v>Mahasiswa</v>
      </c>
      <c r="I94" s="6" t="str">
        <f>IFERROR(__xludf.DUMMYFUNCTION("""COMPUTED_VALUE"""),"Rachma Nur Fitria")</f>
        <v>Rachma Nur Fitria</v>
      </c>
      <c r="J94" s="6" t="str">
        <f>IFERROR(__xludf.DUMMYFUNCTION("""COMPUTED_VALUE"""),"Ari Susanti")</f>
        <v>Ari Susanti</v>
      </c>
      <c r="K94" s="6"/>
      <c r="L94" s="6"/>
      <c r="M94" s="6"/>
      <c r="N94" s="6"/>
      <c r="O94" s="6"/>
      <c r="P94" s="10" t="str">
        <f>IFERROR(__xludf.DUMMYFUNCTION("""COMPUTED_VALUE"""),"Rachma Nur Fitria,Ari Susanti,,")</f>
        <v>Rachma Nur Fitria,Ari Susanti,,</v>
      </c>
      <c r="Q94" s="11" t="str">
        <f>IFERROR(__xludf.DUMMYFUNCTION("""COMPUTED_VALUE"""),"http://jurnal.unsil.ac.id/index.php/jem")</f>
        <v>http://jurnal.unsil.ac.id/index.php/jem</v>
      </c>
      <c r="R94" s="6"/>
    </row>
    <row r="95">
      <c r="A95" s="5">
        <f>IFERROR(__xludf.DUMMYFUNCTION("""COMPUTED_VALUE"""),94.0)</f>
        <v>94</v>
      </c>
      <c r="B95" s="6" t="str">
        <f>IFERROR(__xludf.DUMMYFUNCTION("""COMPUTED_VALUE"""),"PENGARUH PERCEIVED SITE QUALITY, PERCEIVED VENDOR REPUTATION, DAN STRUCTURAL ASSURANCE TERHADAP TRUST PENGGUNA E-COMMERCE")</f>
        <v>PENGARUH PERCEIVED SITE QUALITY, PERCEIVED VENDOR REPUTATION, DAN STRUCTURAL ASSURANCE TERHADAP TRUST PENGGUNA E-COMMERCE</v>
      </c>
      <c r="C95" s="7">
        <f>IFERROR(__xludf.DUMMYFUNCTION("""COMPUTED_VALUE"""),2021.0)</f>
        <v>2021</v>
      </c>
      <c r="D95" s="8" t="str">
        <f>IFERROR(__xludf.DUMMYFUNCTION("""COMPUTED_VALUE"""),"2021/2022")</f>
        <v>2021/2022</v>
      </c>
      <c r="E95" s="9">
        <f>IFERROR(__xludf.DUMMYFUNCTION("""COMPUTED_VALUE"""),44559.0)</f>
        <v>44559</v>
      </c>
      <c r="F95" s="5" t="str">
        <f>IFERROR(__xludf.DUMMYFUNCTION("""COMPUTED_VALUE"""),"Ganjil")</f>
        <v>Ganjil</v>
      </c>
      <c r="G95" s="5" t="str">
        <f>IFERROR(__xludf.DUMMYFUNCTION("""COMPUTED_VALUE"""),"Manajemen")</f>
        <v>Manajemen</v>
      </c>
      <c r="H95" s="10" t="str">
        <f>IFERROR(__xludf.DUMMYFUNCTION("""COMPUTED_VALUE"""),"Mahasiswa")</f>
        <v>Mahasiswa</v>
      </c>
      <c r="I95" s="6" t="str">
        <f>IFERROR(__xludf.DUMMYFUNCTION("""COMPUTED_VALUE"""),"Beni Kristiawan")</f>
        <v>Beni Kristiawan</v>
      </c>
      <c r="J95" s="6" t="str">
        <f>IFERROR(__xludf.DUMMYFUNCTION("""COMPUTED_VALUE"""),"Ida Ayu Kade")</f>
        <v>Ida Ayu Kade</v>
      </c>
      <c r="K95" s="6"/>
      <c r="L95" s="6"/>
      <c r="M95" s="6"/>
      <c r="N95" s="6"/>
      <c r="O95" s="6"/>
      <c r="P95" s="10" t="str">
        <f>IFERROR(__xludf.DUMMYFUNCTION("""COMPUTED_VALUE"""),"Beni Kristiawan,Ida Ayu Kade,,")</f>
        <v>Beni Kristiawan,Ida Ayu Kade,,</v>
      </c>
      <c r="Q95" s="6"/>
      <c r="R95" s="6"/>
    </row>
    <row r="96">
      <c r="A96" s="5">
        <f>IFERROR(__xludf.DUMMYFUNCTION("""COMPUTED_VALUE"""),95.0)</f>
        <v>95</v>
      </c>
      <c r="B96" s="6" t="str">
        <f>IFERROR(__xludf.DUMMYFUNCTION("""COMPUTED_VALUE"""),"PENGARUH PERILAKU KONSUMEN TERHADAP KEPUTUSAN PEMBELIAN ANGGUR MERAH CAP ORANG TUA DI KOTA SURAKARTA")</f>
        <v>PENGARUH PERILAKU KONSUMEN TERHADAP KEPUTUSAN PEMBELIAN ANGGUR MERAH CAP ORANG TUA DI KOTA SURAKARTA</v>
      </c>
      <c r="C96" s="7">
        <f>IFERROR(__xludf.DUMMYFUNCTION("""COMPUTED_VALUE"""),2021.0)</f>
        <v>2021</v>
      </c>
      <c r="D96" s="8" t="str">
        <f>IFERROR(__xludf.DUMMYFUNCTION("""COMPUTED_VALUE"""),"2021/2022")</f>
        <v>2021/2022</v>
      </c>
      <c r="E96" s="9">
        <f>IFERROR(__xludf.DUMMYFUNCTION("""COMPUTED_VALUE"""),44559.0)</f>
        <v>44559</v>
      </c>
      <c r="F96" s="5" t="str">
        <f>IFERROR(__xludf.DUMMYFUNCTION("""COMPUTED_VALUE"""),"Ganjil")</f>
        <v>Ganjil</v>
      </c>
      <c r="G96" s="5" t="str">
        <f>IFERROR(__xludf.DUMMYFUNCTION("""COMPUTED_VALUE"""),"Manajemen")</f>
        <v>Manajemen</v>
      </c>
      <c r="H96" s="10" t="str">
        <f>IFERROR(__xludf.DUMMYFUNCTION("""COMPUTED_VALUE"""),"Mahasiswa")</f>
        <v>Mahasiswa</v>
      </c>
      <c r="I96" s="6" t="str">
        <f>IFERROR(__xludf.DUMMYFUNCTION("""COMPUTED_VALUE"""),"Afwan Putra")</f>
        <v>Afwan Putra</v>
      </c>
      <c r="J96" s="6" t="str">
        <f>IFERROR(__xludf.DUMMYFUNCTION("""COMPUTED_VALUE"""),"Christiawan Hendratmoko")</f>
        <v>Christiawan Hendratmoko</v>
      </c>
      <c r="K96" s="6"/>
      <c r="L96" s="6"/>
      <c r="M96" s="6"/>
      <c r="N96" s="6"/>
      <c r="O96" s="6"/>
      <c r="P96" s="10" t="str">
        <f>IFERROR(__xludf.DUMMYFUNCTION("""COMPUTED_VALUE"""),"Afwan Putra,Christiawan Hendratmoko,,")</f>
        <v>Afwan Putra,Christiawan Hendratmoko,,</v>
      </c>
      <c r="Q96" s="6"/>
      <c r="R96" s="6"/>
    </row>
    <row r="97">
      <c r="A97" s="5">
        <f>IFERROR(__xludf.DUMMYFUNCTION("""COMPUTED_VALUE"""),96.0)</f>
        <v>96</v>
      </c>
      <c r="B97" s="6" t="str">
        <f>IFERROR(__xludf.DUMMYFUNCTION("""COMPUTED_VALUE"""),"Pengaruh Produk, Influencer dan Strategi Promosi Media Sosial Terhadap Keputusan Pembelian Herborist")</f>
        <v>Pengaruh Produk, Influencer dan Strategi Promosi Media Sosial Terhadap Keputusan Pembelian Herborist</v>
      </c>
      <c r="C97" s="7">
        <f>IFERROR(__xludf.DUMMYFUNCTION("""COMPUTED_VALUE"""),2021.0)</f>
        <v>2021</v>
      </c>
      <c r="D97" s="8" t="str">
        <f>IFERROR(__xludf.DUMMYFUNCTION("""COMPUTED_VALUE"""),"2021/2022")</f>
        <v>2021/2022</v>
      </c>
      <c r="E97" s="9">
        <f>IFERROR(__xludf.DUMMYFUNCTION("""COMPUTED_VALUE"""),44559.0)</f>
        <v>44559</v>
      </c>
      <c r="F97" s="5" t="str">
        <f>IFERROR(__xludf.DUMMYFUNCTION("""COMPUTED_VALUE"""),"Ganjil")</f>
        <v>Ganjil</v>
      </c>
      <c r="G97" s="5" t="str">
        <f>IFERROR(__xludf.DUMMYFUNCTION("""COMPUTED_VALUE"""),"Manajemen")</f>
        <v>Manajemen</v>
      </c>
      <c r="H97" s="10" t="str">
        <f>IFERROR(__xludf.DUMMYFUNCTION("""COMPUTED_VALUE"""),"Mahasiswa")</f>
        <v>Mahasiswa</v>
      </c>
      <c r="I97" s="6" t="str">
        <f>IFERROR(__xludf.DUMMYFUNCTION("""COMPUTED_VALUE"""),"Dewi Styorini")</f>
        <v>Dewi Styorini</v>
      </c>
      <c r="J97" s="6" t="str">
        <f>IFERROR(__xludf.DUMMYFUNCTION("""COMPUTED_VALUE"""),"Ginanjar Rahmawan")</f>
        <v>Ginanjar Rahmawan</v>
      </c>
      <c r="K97" s="6"/>
      <c r="L97" s="6"/>
      <c r="M97" s="6"/>
      <c r="N97" s="6"/>
      <c r="O97" s="6"/>
      <c r="P97" s="10" t="str">
        <f>IFERROR(__xludf.DUMMYFUNCTION("""COMPUTED_VALUE"""),"Dewi Styorini,Ginanjar Rahmawan,,")</f>
        <v>Dewi Styorini,Ginanjar Rahmawan,,</v>
      </c>
      <c r="Q97" s="11" t="str">
        <f>IFERROR(__xludf.DUMMYFUNCTION("""COMPUTED_VALUE"""),"https://publikasi.mercubuana.ac.id/index.php/jdm/article/view/12110")</f>
        <v>https://publikasi.mercubuana.ac.id/index.php/jdm/article/view/12110</v>
      </c>
      <c r="R97" s="6"/>
    </row>
    <row r="98">
      <c r="A98" s="5">
        <f>IFERROR(__xludf.DUMMYFUNCTION("""COMPUTED_VALUE"""),97.0)</f>
        <v>97</v>
      </c>
      <c r="B98" s="6" t="str">
        <f>IFERROR(__xludf.DUMMYFUNCTION("""COMPUTED_VALUE"""),"PENGARUH REWARD DAN PUNISHMENT, KESEJAHTERAAN DAN KESELAMATAN, SARANA PRASARANA TERHADAP KINERJA KARYAWAN")</f>
        <v>PENGARUH REWARD DAN PUNISHMENT, KESEJAHTERAAN DAN KESELAMATAN, SARANA PRASARANA TERHADAP KINERJA KARYAWAN</v>
      </c>
      <c r="C98" s="7">
        <f>IFERROR(__xludf.DUMMYFUNCTION("""COMPUTED_VALUE"""),2021.0)</f>
        <v>2021</v>
      </c>
      <c r="D98" s="8" t="str">
        <f>IFERROR(__xludf.DUMMYFUNCTION("""COMPUTED_VALUE"""),"2021/2022")</f>
        <v>2021/2022</v>
      </c>
      <c r="E98" s="9">
        <f>IFERROR(__xludf.DUMMYFUNCTION("""COMPUTED_VALUE"""),44559.0)</f>
        <v>44559</v>
      </c>
      <c r="F98" s="5" t="str">
        <f>IFERROR(__xludf.DUMMYFUNCTION("""COMPUTED_VALUE"""),"Ganjil")</f>
        <v>Ganjil</v>
      </c>
      <c r="G98" s="5" t="str">
        <f>IFERROR(__xludf.DUMMYFUNCTION("""COMPUTED_VALUE"""),"Manajemen")</f>
        <v>Manajemen</v>
      </c>
      <c r="H98" s="10" t="str">
        <f>IFERROR(__xludf.DUMMYFUNCTION("""COMPUTED_VALUE"""),"Mahasiswa")</f>
        <v>Mahasiswa</v>
      </c>
      <c r="I98" s="6" t="str">
        <f>IFERROR(__xludf.DUMMYFUNCTION("""COMPUTED_VALUE"""),"Bunga Nugraheni")</f>
        <v>Bunga Nugraheni</v>
      </c>
      <c r="J98" s="6" t="str">
        <f>IFERROR(__xludf.DUMMYFUNCTION("""COMPUTED_VALUE"""),"Ida Ayu Kade")</f>
        <v>Ida Ayu Kade</v>
      </c>
      <c r="K98" s="6"/>
      <c r="L98" s="6"/>
      <c r="M98" s="6"/>
      <c r="N98" s="6"/>
      <c r="O98" s="6"/>
      <c r="P98" s="10" t="str">
        <f>IFERROR(__xludf.DUMMYFUNCTION("""COMPUTED_VALUE"""),"Bunga Nugraheni,Ida Ayu Kade,,")</f>
        <v>Bunga Nugraheni,Ida Ayu Kade,,</v>
      </c>
      <c r="Q98" s="6"/>
      <c r="R98" s="6"/>
    </row>
    <row r="99">
      <c r="A99" s="5">
        <f>IFERROR(__xludf.DUMMYFUNCTION("""COMPUTED_VALUE"""),98.0)</f>
        <v>98</v>
      </c>
      <c r="B99" s="6" t="str">
        <f>IFERROR(__xludf.DUMMYFUNCTION("""COMPUTED_VALUE"""),"PENGARUH STRATEGI GENERIK MODEL PORTER TERHADAP KEPUASAN PELANGGAN PRODUKNPPDI TOKO SUMBER MAKMUR MOTOR")</f>
        <v>PENGARUH STRATEGI GENERIK MODEL PORTER TERHADAP KEPUASAN PELANGGAN PRODUKNPPDI TOKO SUMBER MAKMUR MOTOR</v>
      </c>
      <c r="C99" s="7">
        <f>IFERROR(__xludf.DUMMYFUNCTION("""COMPUTED_VALUE"""),2021.0)</f>
        <v>2021</v>
      </c>
      <c r="D99" s="8" t="str">
        <f>IFERROR(__xludf.DUMMYFUNCTION("""COMPUTED_VALUE"""),"2021/2022")</f>
        <v>2021/2022</v>
      </c>
      <c r="E99" s="9">
        <f>IFERROR(__xludf.DUMMYFUNCTION("""COMPUTED_VALUE"""),44559.0)</f>
        <v>44559</v>
      </c>
      <c r="F99" s="5" t="str">
        <f>IFERROR(__xludf.DUMMYFUNCTION("""COMPUTED_VALUE"""),"Ganjil")</f>
        <v>Ganjil</v>
      </c>
      <c r="G99" s="5" t="str">
        <f>IFERROR(__xludf.DUMMYFUNCTION("""COMPUTED_VALUE"""),"Manajemen")</f>
        <v>Manajemen</v>
      </c>
      <c r="H99" s="10" t="str">
        <f>IFERROR(__xludf.DUMMYFUNCTION("""COMPUTED_VALUE"""),"Mahasiswa")</f>
        <v>Mahasiswa</v>
      </c>
      <c r="I99" s="6" t="str">
        <f>IFERROR(__xludf.DUMMYFUNCTION("""COMPUTED_VALUE"""),"Abdur Rohman")</f>
        <v>Abdur Rohman</v>
      </c>
      <c r="J99" s="6" t="str">
        <f>IFERROR(__xludf.DUMMYFUNCTION("""COMPUTED_VALUE"""),"Muhammad Jalari")</f>
        <v>Muhammad Jalari</v>
      </c>
      <c r="K99" s="6"/>
      <c r="L99" s="6"/>
      <c r="M99" s="6"/>
      <c r="N99" s="6"/>
      <c r="O99" s="6"/>
      <c r="P99" s="10" t="str">
        <f>IFERROR(__xludf.DUMMYFUNCTION("""COMPUTED_VALUE"""),"Abdur Rohman,Muhammad Jalari,,")</f>
        <v>Abdur Rohman,Muhammad Jalari,,</v>
      </c>
      <c r="Q99" s="6"/>
      <c r="R99" s="6"/>
    </row>
    <row r="100">
      <c r="A100" s="5">
        <f>IFERROR(__xludf.DUMMYFUNCTION("""COMPUTED_VALUE"""),99.0)</f>
        <v>99</v>
      </c>
      <c r="B100" s="6" t="str">
        <f>IFERROR(__xludf.DUMMYFUNCTION("""COMPUTED_VALUE"""),"PENGARUHE-COMMERCE, SOSIAL MEDIA, DANKEPERCAYAAN KONSUMEN TERHADAP MINAT BELI PADA APLIKASI BELANJA SHOPEE")</f>
        <v>PENGARUHE-COMMERCE, SOSIAL MEDIA, DANKEPERCAYAAN KONSUMEN TERHADAP MINAT BELI PADA APLIKASI BELANJA SHOPEE</v>
      </c>
      <c r="C100" s="7">
        <f>IFERROR(__xludf.DUMMYFUNCTION("""COMPUTED_VALUE"""),2021.0)</f>
        <v>2021</v>
      </c>
      <c r="D100" s="8" t="str">
        <f>IFERROR(__xludf.DUMMYFUNCTION("""COMPUTED_VALUE"""),"2021/2022")</f>
        <v>2021/2022</v>
      </c>
      <c r="E100" s="9">
        <f>IFERROR(__xludf.DUMMYFUNCTION("""COMPUTED_VALUE"""),44559.0)</f>
        <v>44559</v>
      </c>
      <c r="F100" s="5" t="str">
        <f>IFERROR(__xludf.DUMMYFUNCTION("""COMPUTED_VALUE"""),"Ganjil")</f>
        <v>Ganjil</v>
      </c>
      <c r="G100" s="5" t="str">
        <f>IFERROR(__xludf.DUMMYFUNCTION("""COMPUTED_VALUE"""),"Manajemen")</f>
        <v>Manajemen</v>
      </c>
      <c r="H100" s="10" t="str">
        <f>IFERROR(__xludf.DUMMYFUNCTION("""COMPUTED_VALUE"""),"Mahasiswa")</f>
        <v>Mahasiswa</v>
      </c>
      <c r="I100" s="6" t="str">
        <f>IFERROR(__xludf.DUMMYFUNCTION("""COMPUTED_VALUE"""),"Andhiyani Rahmasari Putri")</f>
        <v>Andhiyani Rahmasari Putri</v>
      </c>
      <c r="J100" s="6" t="str">
        <f>IFERROR(__xludf.DUMMYFUNCTION("""COMPUTED_VALUE"""),"Ari Susanti")</f>
        <v>Ari Susanti</v>
      </c>
      <c r="K100" s="6"/>
      <c r="L100" s="6"/>
      <c r="M100" s="6"/>
      <c r="N100" s="6"/>
      <c r="O100" s="6"/>
      <c r="P100" s="10" t="str">
        <f>IFERROR(__xludf.DUMMYFUNCTION("""COMPUTED_VALUE"""),"Andhiyani Rahmasari Putri,Ari Susanti,,")</f>
        <v>Andhiyani Rahmasari Putri,Ari Susanti,,</v>
      </c>
      <c r="Q100" s="11" t="str">
        <f>IFERROR(__xludf.DUMMYFUNCTION("""COMPUTED_VALUE"""),"https://journal.unj.ac.id/unj/index.php/jrmsi/article/view/22130")</f>
        <v>https://journal.unj.ac.id/unj/index.php/jrmsi/article/view/22130</v>
      </c>
      <c r="R100" s="6"/>
    </row>
    <row r="101">
      <c r="A101" s="5">
        <f>IFERROR(__xludf.DUMMYFUNCTION("""COMPUTED_VALUE"""),100.0)</f>
        <v>100</v>
      </c>
      <c r="B101" s="6" t="str">
        <f>IFERROR(__xludf.DUMMYFUNCTION("""COMPUTED_VALUE"""),"Pengaruh Kualitas Produk, Harga dan Kualitas Pelayanan terhadap Keputusan Pembelian/Jasa Pembuatan Karoseri di PT. SKA Karoseri Indonesia.")</f>
        <v>Pengaruh Kualitas Produk, Harga dan Kualitas Pelayanan terhadap Keputusan Pembelian/Jasa Pembuatan Karoseri di PT. SKA Karoseri Indonesia.</v>
      </c>
      <c r="C101" s="7">
        <f>IFERROR(__xludf.DUMMYFUNCTION("""COMPUTED_VALUE"""),2021.0)</f>
        <v>2021</v>
      </c>
      <c r="D101" s="8" t="str">
        <f>IFERROR(__xludf.DUMMYFUNCTION("""COMPUTED_VALUE"""),"2021/2022")</f>
        <v>2021/2022</v>
      </c>
      <c r="E101" s="9">
        <f>IFERROR(__xludf.DUMMYFUNCTION("""COMPUTED_VALUE"""),44559.0)</f>
        <v>44559</v>
      </c>
      <c r="F101" s="5" t="str">
        <f>IFERROR(__xludf.DUMMYFUNCTION("""COMPUTED_VALUE"""),"Ganjil")</f>
        <v>Ganjil</v>
      </c>
      <c r="G101" s="5" t="str">
        <f>IFERROR(__xludf.DUMMYFUNCTION("""COMPUTED_VALUE"""),"Manajemen")</f>
        <v>Manajemen</v>
      </c>
      <c r="H101" s="10" t="str">
        <f>IFERROR(__xludf.DUMMYFUNCTION("""COMPUTED_VALUE"""),"Mahasiswa")</f>
        <v>Mahasiswa</v>
      </c>
      <c r="I101" s="6" t="str">
        <f>IFERROR(__xludf.DUMMYFUNCTION("""COMPUTED_VALUE"""),"Diska Maria")</f>
        <v>Diska Maria</v>
      </c>
      <c r="J101" s="6" t="str">
        <f>IFERROR(__xludf.DUMMYFUNCTION("""COMPUTED_VALUE"""),"Hestin")</f>
        <v>Hestin</v>
      </c>
      <c r="K101" s="6"/>
      <c r="L101" s="6"/>
      <c r="M101" s="6"/>
      <c r="N101" s="6"/>
      <c r="O101" s="6"/>
      <c r="P101" s="10" t="str">
        <f>IFERROR(__xludf.DUMMYFUNCTION("""COMPUTED_VALUE"""),"Diska Maria,Hestin,,")</f>
        <v>Diska Maria,Hestin,,</v>
      </c>
      <c r="Q101" s="11" t="str">
        <f>IFERROR(__xludf.DUMMYFUNCTION("""COMPUTED_VALUE"""),"https://jurnalfe.ustjogja.ac.id/index.php/ekobis/article/view/2721")</f>
        <v>https://jurnalfe.ustjogja.ac.id/index.php/ekobis/article/view/2721</v>
      </c>
      <c r="R101" s="6"/>
    </row>
    <row r="102">
      <c r="A102" s="5">
        <f>IFERROR(__xludf.DUMMYFUNCTION("""COMPUTED_VALUE"""),101.0)</f>
        <v>101</v>
      </c>
      <c r="B102" s="6" t="str">
        <f>IFERROR(__xludf.DUMMYFUNCTION("""COMPUTED_VALUE"""),"SERVICE QUALITY TERHADAP MINAT PENGGUNAAN SHOPEEPAY SEBAGAI ALAT PEMBAYARAN DI MASA PANDEMI COVID-19")</f>
        <v>SERVICE QUALITY TERHADAP MINAT PENGGUNAAN SHOPEEPAY SEBAGAI ALAT PEMBAYARAN DI MASA PANDEMI COVID-19</v>
      </c>
      <c r="C102" s="7">
        <f>IFERROR(__xludf.DUMMYFUNCTION("""COMPUTED_VALUE"""),2021.0)</f>
        <v>2021</v>
      </c>
      <c r="D102" s="8" t="str">
        <f>IFERROR(__xludf.DUMMYFUNCTION("""COMPUTED_VALUE"""),"2021/2022")</f>
        <v>2021/2022</v>
      </c>
      <c r="E102" s="9">
        <f>IFERROR(__xludf.DUMMYFUNCTION("""COMPUTED_VALUE"""),44559.0)</f>
        <v>44559</v>
      </c>
      <c r="F102" s="5" t="str">
        <f>IFERROR(__xludf.DUMMYFUNCTION("""COMPUTED_VALUE"""),"Ganjil")</f>
        <v>Ganjil</v>
      </c>
      <c r="G102" s="5" t="str">
        <f>IFERROR(__xludf.DUMMYFUNCTION("""COMPUTED_VALUE"""),"Manajemen")</f>
        <v>Manajemen</v>
      </c>
      <c r="H102" s="10" t="str">
        <f>IFERROR(__xludf.DUMMYFUNCTION("""COMPUTED_VALUE"""),"Mahasiswa")</f>
        <v>Mahasiswa</v>
      </c>
      <c r="I102" s="6" t="str">
        <f>IFERROR(__xludf.DUMMYFUNCTION("""COMPUTED_VALUE"""),"Alisa Yunita")</f>
        <v>Alisa Yunita</v>
      </c>
      <c r="J102" s="6" t="str">
        <f>IFERROR(__xludf.DUMMYFUNCTION("""COMPUTED_VALUE"""),"Muhammad Jalari")</f>
        <v>Muhammad Jalari</v>
      </c>
      <c r="K102" s="6"/>
      <c r="L102" s="6"/>
      <c r="M102" s="6"/>
      <c r="N102" s="6"/>
      <c r="O102" s="6"/>
      <c r="P102" s="10" t="str">
        <f>IFERROR(__xludf.DUMMYFUNCTION("""COMPUTED_VALUE"""),"Alisa Yunita,Muhammad Jalari,,")</f>
        <v>Alisa Yunita,Muhammad Jalari,,</v>
      </c>
      <c r="Q102" s="6"/>
      <c r="R102" s="6"/>
    </row>
    <row r="103">
      <c r="A103" s="5">
        <f>IFERROR(__xludf.DUMMYFUNCTION("""COMPUTED_VALUE"""),102.0)</f>
        <v>102</v>
      </c>
      <c r="B103" s="6" t="str">
        <f>IFERROR(__xludf.DUMMYFUNCTION("""COMPUTED_VALUE"""),"PENGARUH KUALITAS PELAYANAN, KUALITAS PRODUK DAN PERSEPSI HARGA TERHADAP KEPUTUSAN PEMBELIAN MADU DI TOKO ALIEF HERBAL")</f>
        <v>PENGARUH KUALITAS PELAYANAN, KUALITAS PRODUK DAN PERSEPSI HARGA TERHADAP KEPUTUSAN PEMBELIAN MADU DI TOKO ALIEF HERBAL</v>
      </c>
      <c r="C103" s="7">
        <f>IFERROR(__xludf.DUMMYFUNCTION("""COMPUTED_VALUE"""),2021.0)</f>
        <v>2021</v>
      </c>
      <c r="D103" s="8" t="str">
        <f>IFERROR(__xludf.DUMMYFUNCTION("""COMPUTED_VALUE"""),"2021/2022")</f>
        <v>2021/2022</v>
      </c>
      <c r="E103" s="9">
        <f>IFERROR(__xludf.DUMMYFUNCTION("""COMPUTED_VALUE"""),44559.0)</f>
        <v>44559</v>
      </c>
      <c r="F103" s="5" t="str">
        <f>IFERROR(__xludf.DUMMYFUNCTION("""COMPUTED_VALUE"""),"Ganjil")</f>
        <v>Ganjil</v>
      </c>
      <c r="G103" s="5" t="str">
        <f>IFERROR(__xludf.DUMMYFUNCTION("""COMPUTED_VALUE"""),"Manajemen")</f>
        <v>Manajemen</v>
      </c>
      <c r="H103" s="10" t="str">
        <f>IFERROR(__xludf.DUMMYFUNCTION("""COMPUTED_VALUE"""),"Mahasiswa")</f>
        <v>Mahasiswa</v>
      </c>
      <c r="I103" s="6" t="str">
        <f>IFERROR(__xludf.DUMMYFUNCTION("""COMPUTED_VALUE"""),"Agus")</f>
        <v>Agus</v>
      </c>
      <c r="J103" s="6" t="str">
        <f>IFERROR(__xludf.DUMMYFUNCTION("""COMPUTED_VALUE"""),"Ginanjar Rahmawan")</f>
        <v>Ginanjar Rahmawan</v>
      </c>
      <c r="K103" s="6"/>
      <c r="L103" s="6"/>
      <c r="M103" s="6"/>
      <c r="N103" s="6"/>
      <c r="O103" s="6"/>
      <c r="P103" s="10" t="str">
        <f>IFERROR(__xludf.DUMMYFUNCTION("""COMPUTED_VALUE"""),"Agus,Ginanjar Rahmawan,,")</f>
        <v>Agus,Ginanjar Rahmawan,,</v>
      </c>
      <c r="Q103" s="11" t="str">
        <f>IFERROR(__xludf.DUMMYFUNCTION("""COMPUTED_VALUE"""),"https://ijersc.org")</f>
        <v>https://ijersc.org</v>
      </c>
      <c r="R103" s="6"/>
    </row>
    <row r="104">
      <c r="A104" s="5">
        <f>IFERROR(__xludf.DUMMYFUNCTION("""COMPUTED_VALUE"""),103.0)</f>
        <v>103</v>
      </c>
      <c r="B104" s="6" t="str">
        <f>IFERROR(__xludf.DUMMYFUNCTION("""COMPUTED_VALUE"""),"PENGARUH GAYA KEPEMIMPINAN, MOTIVASI, DAN DISIPLIN KERJA TERHADAP KINERJA PEGAWAI BPPKAD KOTA SURAKARTA")</f>
        <v>PENGARUH GAYA KEPEMIMPINAN, MOTIVASI, DAN DISIPLIN KERJA TERHADAP KINERJA PEGAWAI BPPKAD KOTA SURAKARTA</v>
      </c>
      <c r="C104" s="7">
        <f>IFERROR(__xludf.DUMMYFUNCTION("""COMPUTED_VALUE"""),2021.0)</f>
        <v>2021</v>
      </c>
      <c r="D104" s="8" t="str">
        <f>IFERROR(__xludf.DUMMYFUNCTION("""COMPUTED_VALUE"""),"2021/2022")</f>
        <v>2021/2022</v>
      </c>
      <c r="E104" s="9">
        <f>IFERROR(__xludf.DUMMYFUNCTION("""COMPUTED_VALUE"""),44559.0)</f>
        <v>44559</v>
      </c>
      <c r="F104" s="5" t="str">
        <f>IFERROR(__xludf.DUMMYFUNCTION("""COMPUTED_VALUE"""),"Ganjil")</f>
        <v>Ganjil</v>
      </c>
      <c r="G104" s="5" t="str">
        <f>IFERROR(__xludf.DUMMYFUNCTION("""COMPUTED_VALUE"""),"Manajemen")</f>
        <v>Manajemen</v>
      </c>
      <c r="H104" s="10" t="str">
        <f>IFERROR(__xludf.DUMMYFUNCTION("""COMPUTED_VALUE"""),"Mahasiswa")</f>
        <v>Mahasiswa</v>
      </c>
      <c r="I104" s="6" t="str">
        <f>IFERROR(__xludf.DUMMYFUNCTION("""COMPUTED_VALUE"""),"Ratih Trimiranti Indrianarsi")</f>
        <v>Ratih Trimiranti Indrianarsi</v>
      </c>
      <c r="J104" s="6" t="str">
        <f>IFERROR(__xludf.DUMMYFUNCTION("""COMPUTED_VALUE"""),"Utomo Wibisono")</f>
        <v>Utomo Wibisono</v>
      </c>
      <c r="K104" s="6"/>
      <c r="L104" s="6"/>
      <c r="M104" s="6"/>
      <c r="N104" s="6"/>
      <c r="O104" s="6"/>
      <c r="P104" s="10" t="str">
        <f>IFERROR(__xludf.DUMMYFUNCTION("""COMPUTED_VALUE"""),"Ratih Trimiranti Indrianarsi,Utomo Wibisono,,")</f>
        <v>Ratih Trimiranti Indrianarsi,Utomo Wibisono,,</v>
      </c>
      <c r="Q104" s="6"/>
      <c r="R104" s="6"/>
    </row>
    <row r="105">
      <c r="A105" s="5">
        <f>IFERROR(__xludf.DUMMYFUNCTION("""COMPUTED_VALUE"""),104.0)</f>
        <v>104</v>
      </c>
      <c r="B105" s="6" t="str">
        <f>IFERROR(__xludf.DUMMYFUNCTION("""COMPUTED_VALUE"""),"Pengaruh Persepsi harga, Kualitas Pelayanan, Produk dan Lokasi terhadap Keputusan Pembelian Ayam Geprek Mbak Iyut")</f>
        <v>Pengaruh Persepsi harga, Kualitas Pelayanan, Produk dan Lokasi terhadap Keputusan Pembelian Ayam Geprek Mbak Iyut</v>
      </c>
      <c r="C105" s="7">
        <f>IFERROR(__xludf.DUMMYFUNCTION("""COMPUTED_VALUE"""),2021.0)</f>
        <v>2021</v>
      </c>
      <c r="D105" s="8" t="str">
        <f>IFERROR(__xludf.DUMMYFUNCTION("""COMPUTED_VALUE"""),"2021/2022")</f>
        <v>2021/2022</v>
      </c>
      <c r="E105" s="9">
        <f>IFERROR(__xludf.DUMMYFUNCTION("""COMPUTED_VALUE"""),44559.0)</f>
        <v>44559</v>
      </c>
      <c r="F105" s="5" t="str">
        <f>IFERROR(__xludf.DUMMYFUNCTION("""COMPUTED_VALUE"""),"Ganjil")</f>
        <v>Ganjil</v>
      </c>
      <c r="G105" s="5" t="str">
        <f>IFERROR(__xludf.DUMMYFUNCTION("""COMPUTED_VALUE"""),"Manajemen")</f>
        <v>Manajemen</v>
      </c>
      <c r="H105" s="10" t="str">
        <f>IFERROR(__xludf.DUMMYFUNCTION("""COMPUTED_VALUE"""),"Mahasiswa")</f>
        <v>Mahasiswa</v>
      </c>
      <c r="I105" s="6" t="str">
        <f>IFERROR(__xludf.DUMMYFUNCTION("""COMPUTED_VALUE"""),"Fajar Ayuningtyas")</f>
        <v>Fajar Ayuningtyas</v>
      </c>
      <c r="J105" s="6" t="str">
        <f>IFERROR(__xludf.DUMMYFUNCTION("""COMPUTED_VALUE"""),"Christiawan Hendratmoko")</f>
        <v>Christiawan Hendratmoko</v>
      </c>
      <c r="K105" s="6"/>
      <c r="L105" s="6"/>
      <c r="M105" s="6"/>
      <c r="N105" s="6"/>
      <c r="O105" s="6"/>
      <c r="P105" s="10" t="str">
        <f>IFERROR(__xludf.DUMMYFUNCTION("""COMPUTED_VALUE"""),"Fajar Ayuningtyas,Christiawan Hendratmoko,,")</f>
        <v>Fajar Ayuningtyas,Christiawan Hendratmoko,,</v>
      </c>
      <c r="Q105" s="6"/>
      <c r="R105" s="6"/>
    </row>
    <row r="106">
      <c r="A106" s="5">
        <f>IFERROR(__xludf.DUMMYFUNCTION("""COMPUTED_VALUE"""),105.0)</f>
        <v>105</v>
      </c>
      <c r="B106" s="6" t="str">
        <f>IFERROR(__xludf.DUMMYFUNCTION("""COMPUTED_VALUE"""),"FAKTOR-FAKTOR YANG MEMPENGARUHI KEPUASAN KONSUMEN DI HOS COFFEE")</f>
        <v>FAKTOR-FAKTOR YANG MEMPENGARUHI KEPUASAN KONSUMEN DI HOS COFFEE</v>
      </c>
      <c r="C106" s="7">
        <f>IFERROR(__xludf.DUMMYFUNCTION("""COMPUTED_VALUE"""),2021.0)</f>
        <v>2021</v>
      </c>
      <c r="D106" s="8" t="str">
        <f>IFERROR(__xludf.DUMMYFUNCTION("""COMPUTED_VALUE"""),"2021/2022")</f>
        <v>2021/2022</v>
      </c>
      <c r="E106" s="9">
        <f>IFERROR(__xludf.DUMMYFUNCTION("""COMPUTED_VALUE"""),44559.0)</f>
        <v>44559</v>
      </c>
      <c r="F106" s="5" t="str">
        <f>IFERROR(__xludf.DUMMYFUNCTION("""COMPUTED_VALUE"""),"Ganjil")</f>
        <v>Ganjil</v>
      </c>
      <c r="G106" s="5" t="str">
        <f>IFERROR(__xludf.DUMMYFUNCTION("""COMPUTED_VALUE"""),"Manajemen")</f>
        <v>Manajemen</v>
      </c>
      <c r="H106" s="10" t="str">
        <f>IFERROR(__xludf.DUMMYFUNCTION("""COMPUTED_VALUE"""),"Mahasiswa")</f>
        <v>Mahasiswa</v>
      </c>
      <c r="I106" s="6" t="str">
        <f>IFERROR(__xludf.DUMMYFUNCTION("""COMPUTED_VALUE"""),"Muhammad Firdaus")</f>
        <v>Muhammad Firdaus</v>
      </c>
      <c r="J106" s="6" t="str">
        <f>IFERROR(__xludf.DUMMYFUNCTION("""COMPUTED_VALUE"""),"Ida Ayu Kade")</f>
        <v>Ida Ayu Kade</v>
      </c>
      <c r="K106" s="6"/>
      <c r="L106" s="6"/>
      <c r="M106" s="6"/>
      <c r="N106" s="6"/>
      <c r="O106" s="6"/>
      <c r="P106" s="10" t="str">
        <f>IFERROR(__xludf.DUMMYFUNCTION("""COMPUTED_VALUE"""),"Muhammad Firdaus,Ida Ayu Kade,,")</f>
        <v>Muhammad Firdaus,Ida Ayu Kade,,</v>
      </c>
      <c r="Q106" s="6"/>
      <c r="R106" s="6"/>
    </row>
    <row r="107">
      <c r="A107" s="5">
        <f>IFERROR(__xludf.DUMMYFUNCTION("""COMPUTED_VALUE"""),106.0)</f>
        <v>106</v>
      </c>
      <c r="B107" s="6" t="str">
        <f>IFERROR(__xludf.DUMMYFUNCTION("""COMPUTED_VALUE"""),"PENGARUH DESAIN PRODUK, FITUR, HARGA, DAN CITRA MEREK TERHADAP KEPUTUSAN PEMBELIAN SMARTPHONE XIAOMI")</f>
        <v>PENGARUH DESAIN PRODUK, FITUR, HARGA, DAN CITRA MEREK TERHADAP KEPUTUSAN PEMBELIAN SMARTPHONE XIAOMI</v>
      </c>
      <c r="C107" s="7">
        <f>IFERROR(__xludf.DUMMYFUNCTION("""COMPUTED_VALUE"""),2021.0)</f>
        <v>2021</v>
      </c>
      <c r="D107" s="8" t="str">
        <f>IFERROR(__xludf.DUMMYFUNCTION("""COMPUTED_VALUE"""),"2021/2022")</f>
        <v>2021/2022</v>
      </c>
      <c r="E107" s="9">
        <f>IFERROR(__xludf.DUMMYFUNCTION("""COMPUTED_VALUE"""),44559.0)</f>
        <v>44559</v>
      </c>
      <c r="F107" s="5" t="str">
        <f>IFERROR(__xludf.DUMMYFUNCTION("""COMPUTED_VALUE"""),"Ganjil")</f>
        <v>Ganjil</v>
      </c>
      <c r="G107" s="5" t="str">
        <f>IFERROR(__xludf.DUMMYFUNCTION("""COMPUTED_VALUE"""),"Manajemen")</f>
        <v>Manajemen</v>
      </c>
      <c r="H107" s="10" t="str">
        <f>IFERROR(__xludf.DUMMYFUNCTION("""COMPUTED_VALUE"""),"Mahasiswa")</f>
        <v>Mahasiswa</v>
      </c>
      <c r="I107" s="6" t="str">
        <f>IFERROR(__xludf.DUMMYFUNCTION("""COMPUTED_VALUE"""),"Ardianto Nugroho")</f>
        <v>Ardianto Nugroho</v>
      </c>
      <c r="J107" s="6" t="str">
        <f>IFERROR(__xludf.DUMMYFUNCTION("""COMPUTED_VALUE"""),"Christiawan Hendratmoko")</f>
        <v>Christiawan Hendratmoko</v>
      </c>
      <c r="K107" s="6"/>
      <c r="L107" s="6"/>
      <c r="M107" s="6"/>
      <c r="N107" s="6"/>
      <c r="O107" s="6"/>
      <c r="P107" s="10" t="str">
        <f>IFERROR(__xludf.DUMMYFUNCTION("""COMPUTED_VALUE"""),"Ardianto Nugroho,Christiawan Hendratmoko,,")</f>
        <v>Ardianto Nugroho,Christiawan Hendratmoko,,</v>
      </c>
      <c r="Q107" s="6"/>
      <c r="R107" s="6"/>
    </row>
    <row r="108">
      <c r="A108" s="5">
        <f>IFERROR(__xludf.DUMMYFUNCTION("""COMPUTED_VALUE"""),107.0)</f>
        <v>107</v>
      </c>
      <c r="B108" s="6" t="str">
        <f>IFERROR(__xludf.DUMMYFUNCTION("""COMPUTED_VALUE"""),"Pengaruh Trustworthiness, Attractiveness, Expertise dan Lifestyle pada Celebrity Endorser Terhadap Keputusan Pembelian Produk Scarlett Whitening")</f>
        <v>Pengaruh Trustworthiness, Attractiveness, Expertise dan Lifestyle pada Celebrity Endorser Terhadap Keputusan Pembelian Produk Scarlett Whitening</v>
      </c>
      <c r="C108" s="7">
        <f>IFERROR(__xludf.DUMMYFUNCTION("""COMPUTED_VALUE"""),2021.0)</f>
        <v>2021</v>
      </c>
      <c r="D108" s="8" t="str">
        <f>IFERROR(__xludf.DUMMYFUNCTION("""COMPUTED_VALUE"""),"2021/2022")</f>
        <v>2021/2022</v>
      </c>
      <c r="E108" s="9">
        <f>IFERROR(__xludf.DUMMYFUNCTION("""COMPUTED_VALUE"""),44559.0)</f>
        <v>44559</v>
      </c>
      <c r="F108" s="5" t="str">
        <f>IFERROR(__xludf.DUMMYFUNCTION("""COMPUTED_VALUE"""),"Ganjil")</f>
        <v>Ganjil</v>
      </c>
      <c r="G108" s="5" t="str">
        <f>IFERROR(__xludf.DUMMYFUNCTION("""COMPUTED_VALUE"""),"Manajemen")</f>
        <v>Manajemen</v>
      </c>
      <c r="H108" s="10" t="str">
        <f>IFERROR(__xludf.DUMMYFUNCTION("""COMPUTED_VALUE"""),"Mahasiswa")</f>
        <v>Mahasiswa</v>
      </c>
      <c r="I108" s="6" t="str">
        <f>IFERROR(__xludf.DUMMYFUNCTION("""COMPUTED_VALUE"""),"Afrida Ainur Rifqi")</f>
        <v>Afrida Ainur Rifqi</v>
      </c>
      <c r="J108" s="6" t="str">
        <f>IFERROR(__xludf.DUMMYFUNCTION("""COMPUTED_VALUE"""),"Budi Istiyanto")</f>
        <v>Budi Istiyanto</v>
      </c>
      <c r="K108" s="6"/>
      <c r="L108" s="6"/>
      <c r="M108" s="6"/>
      <c r="N108" s="6"/>
      <c r="O108" s="6"/>
      <c r="P108" s="10" t="str">
        <f>IFERROR(__xludf.DUMMYFUNCTION("""COMPUTED_VALUE"""),"Afrida Ainur Rifqi,Budi Istiyanto,,")</f>
        <v>Afrida Ainur Rifqi,Budi Istiyanto,,</v>
      </c>
      <c r="Q108" s="6"/>
      <c r="R108" s="6"/>
    </row>
    <row r="109">
      <c r="A109" s="5">
        <f>IFERROR(__xludf.DUMMYFUNCTION("""COMPUTED_VALUE"""),108.0)</f>
        <v>108</v>
      </c>
      <c r="B109" s="6" t="str">
        <f>IFERROR(__xludf.DUMMYFUNCTION("""COMPUTED_VALUE"""),"Pengaruh Variabel Reputasi , Keamanan, Kemudahan Terhadap Keputusan Pembelian Masyarakat Solo di Shopee")</f>
        <v>Pengaruh Variabel Reputasi , Keamanan, Kemudahan Terhadap Keputusan Pembelian Masyarakat Solo di Shopee</v>
      </c>
      <c r="C109" s="7">
        <f>IFERROR(__xludf.DUMMYFUNCTION("""COMPUTED_VALUE"""),2021.0)</f>
        <v>2021</v>
      </c>
      <c r="D109" s="8" t="str">
        <f>IFERROR(__xludf.DUMMYFUNCTION("""COMPUTED_VALUE"""),"2021/2022")</f>
        <v>2021/2022</v>
      </c>
      <c r="E109" s="9">
        <f>IFERROR(__xludf.DUMMYFUNCTION("""COMPUTED_VALUE"""),44559.0)</f>
        <v>44559</v>
      </c>
      <c r="F109" s="5" t="str">
        <f>IFERROR(__xludf.DUMMYFUNCTION("""COMPUTED_VALUE"""),"Ganjil")</f>
        <v>Ganjil</v>
      </c>
      <c r="G109" s="5" t="str">
        <f>IFERROR(__xludf.DUMMYFUNCTION("""COMPUTED_VALUE"""),"Manajemen")</f>
        <v>Manajemen</v>
      </c>
      <c r="H109" s="10" t="str">
        <f>IFERROR(__xludf.DUMMYFUNCTION("""COMPUTED_VALUE"""),"Mahasiswa")</f>
        <v>Mahasiswa</v>
      </c>
      <c r="I109" s="6" t="str">
        <f>IFERROR(__xludf.DUMMYFUNCTION("""COMPUTED_VALUE"""),"Yesy Selviana")</f>
        <v>Yesy Selviana</v>
      </c>
      <c r="J109" s="6" t="str">
        <f>IFERROR(__xludf.DUMMYFUNCTION("""COMPUTED_VALUE"""),"Budi Istiyanto")</f>
        <v>Budi Istiyanto</v>
      </c>
      <c r="K109" s="6"/>
      <c r="L109" s="6"/>
      <c r="M109" s="6"/>
      <c r="N109" s="6"/>
      <c r="O109" s="6"/>
      <c r="P109" s="10" t="str">
        <f>IFERROR(__xludf.DUMMYFUNCTION("""COMPUTED_VALUE"""),"Yesy Selviana,Budi Istiyanto,,")</f>
        <v>Yesy Selviana,Budi Istiyanto,,</v>
      </c>
      <c r="Q109" s="11" t="str">
        <f>IFERROR(__xludf.DUMMYFUNCTION("""COMPUTED_VALUE"""),"https://www.semanticscholar.org/paper/PENGARUH-VARIABEL-REPUTASI%2C-KEAMANAN%2C-DAN-KEMUDAHAN-Selviana-Istiyanto/9bf15443ac98cc566ce3823bdbf096305682d2c9?utm_source=direct_link")</f>
        <v>https://www.semanticscholar.org/paper/PENGARUH-VARIABEL-REPUTASI%2C-KEAMANAN%2C-DAN-KEMUDAHAN-Selviana-Istiyanto/9bf15443ac98cc566ce3823bdbf096305682d2c9?utm_source=direct_link</v>
      </c>
      <c r="R109" s="6"/>
    </row>
    <row r="110">
      <c r="A110" s="5">
        <f>IFERROR(__xludf.DUMMYFUNCTION("""COMPUTED_VALUE"""),109.0)</f>
        <v>109</v>
      </c>
      <c r="B110" s="6" t="str">
        <f>IFERROR(__xludf.DUMMYFUNCTION("""COMPUTED_VALUE"""),"Peran Harga, Brand Equity dan Lifestyle terhadap Keputusan Pembelian Mobil Toyota Avanza di Kecamatan Purwantoro Kabupaten Wonogiri")</f>
        <v>Peran Harga, Brand Equity dan Lifestyle terhadap Keputusan Pembelian Mobil Toyota Avanza di Kecamatan Purwantoro Kabupaten Wonogiri</v>
      </c>
      <c r="C110" s="7">
        <f>IFERROR(__xludf.DUMMYFUNCTION("""COMPUTED_VALUE"""),2021.0)</f>
        <v>2021</v>
      </c>
      <c r="D110" s="8" t="str">
        <f>IFERROR(__xludf.DUMMYFUNCTION("""COMPUTED_VALUE"""),"2021/2022")</f>
        <v>2021/2022</v>
      </c>
      <c r="E110" s="9">
        <f>IFERROR(__xludf.DUMMYFUNCTION("""COMPUTED_VALUE"""),44559.0)</f>
        <v>44559</v>
      </c>
      <c r="F110" s="5" t="str">
        <f>IFERROR(__xludf.DUMMYFUNCTION("""COMPUTED_VALUE"""),"Ganjil")</f>
        <v>Ganjil</v>
      </c>
      <c r="G110" s="5" t="str">
        <f>IFERROR(__xludf.DUMMYFUNCTION("""COMPUTED_VALUE"""),"Manajemen")</f>
        <v>Manajemen</v>
      </c>
      <c r="H110" s="10" t="str">
        <f>IFERROR(__xludf.DUMMYFUNCTION("""COMPUTED_VALUE"""),"Mahasiswa")</f>
        <v>Mahasiswa</v>
      </c>
      <c r="I110" s="6" t="str">
        <f>IFERROR(__xludf.DUMMYFUNCTION("""COMPUTED_VALUE"""),"Fajar Tri Wibowo")</f>
        <v>Fajar Tri Wibowo</v>
      </c>
      <c r="J110" s="6" t="str">
        <f>IFERROR(__xludf.DUMMYFUNCTION("""COMPUTED_VALUE"""),"Budi Istiyanto")</f>
        <v>Budi Istiyanto</v>
      </c>
      <c r="K110" s="6"/>
      <c r="L110" s="6"/>
      <c r="M110" s="6"/>
      <c r="N110" s="6"/>
      <c r="O110" s="6"/>
      <c r="P110" s="10" t="str">
        <f>IFERROR(__xludf.DUMMYFUNCTION("""COMPUTED_VALUE"""),"Fajar Tri Wibowo,Budi Istiyanto,,")</f>
        <v>Fajar Tri Wibowo,Budi Istiyanto,,</v>
      </c>
      <c r="Q110" s="11" t="str">
        <f>IFERROR(__xludf.DUMMYFUNCTION("""COMPUTED_VALUE"""),"https://jurnal.stiesurakarta.ac.id/index.php/jebdeker/authordashboard/submission/71")</f>
        <v>https://jurnal.stiesurakarta.ac.id/index.php/jebdeker/authordashboard/submission/71</v>
      </c>
      <c r="R110" s="6"/>
    </row>
    <row r="111">
      <c r="A111" s="5">
        <f>IFERROR(__xludf.DUMMYFUNCTION("""COMPUTED_VALUE"""),110.0)</f>
        <v>110</v>
      </c>
      <c r="B111" s="6" t="str">
        <f>IFERROR(__xludf.DUMMYFUNCTION("""COMPUTED_VALUE"""),"Perusahaan Textile &amp; Garment Yang Tercatat Pada Bursa Efek Indonesia")</f>
        <v>Perusahaan Textile &amp; Garment Yang Tercatat Pada Bursa Efek Indonesia</v>
      </c>
      <c r="C111" s="7">
        <f>IFERROR(__xludf.DUMMYFUNCTION("""COMPUTED_VALUE"""),2021.0)</f>
        <v>2021</v>
      </c>
      <c r="D111" s="8" t="str">
        <f>IFERROR(__xludf.DUMMYFUNCTION("""COMPUTED_VALUE"""),"2021/2022")</f>
        <v>2021/2022</v>
      </c>
      <c r="E111" s="9">
        <f>IFERROR(__xludf.DUMMYFUNCTION("""COMPUTED_VALUE"""),44559.0)</f>
        <v>44559</v>
      </c>
      <c r="F111" s="5" t="str">
        <f>IFERROR(__xludf.DUMMYFUNCTION("""COMPUTED_VALUE"""),"Ganjil")</f>
        <v>Ganjil</v>
      </c>
      <c r="G111" s="5" t="str">
        <f>IFERROR(__xludf.DUMMYFUNCTION("""COMPUTED_VALUE"""),"")</f>
        <v/>
      </c>
      <c r="H111" s="10" t="str">
        <f>IFERROR(__xludf.DUMMYFUNCTION("""COMPUTED_VALUE"""),"Mahasiswa")</f>
        <v>Mahasiswa</v>
      </c>
      <c r="I111" s="6" t="str">
        <f>IFERROR(__xludf.DUMMYFUNCTION("""COMPUTED_VALUE"""),"Dyan Nur Yuliyanti")</f>
        <v>Dyan Nur Yuliyanti</v>
      </c>
      <c r="J111" s="6"/>
      <c r="K111" s="6"/>
      <c r="L111" s="6"/>
      <c r="M111" s="6"/>
      <c r="N111" s="6"/>
      <c r="O111" s="6"/>
      <c r="P111" s="10" t="str">
        <f>IFERROR(__xludf.DUMMYFUNCTION("""COMPUTED_VALUE"""),"Dyan Nur Yuliyanti,,,")</f>
        <v>Dyan Nur Yuliyanti,,,</v>
      </c>
      <c r="Q111" s="6"/>
      <c r="R111" s="6"/>
    </row>
    <row r="112">
      <c r="A112" s="5">
        <f>IFERROR(__xludf.DUMMYFUNCTION("""COMPUTED_VALUE"""),111.0)</f>
        <v>111</v>
      </c>
      <c r="B112" s="6" t="str">
        <f>IFERROR(__xludf.DUMMYFUNCTION("""COMPUTED_VALUE"""),"Pengaruh Citra Merek, Kualitas Produk dan Harga terhadap Loyalitas Pelanggan Smartphone Realme di Kota Solo")</f>
        <v>Pengaruh Citra Merek, Kualitas Produk dan Harga terhadap Loyalitas Pelanggan Smartphone Realme di Kota Solo</v>
      </c>
      <c r="C112" s="7">
        <f>IFERROR(__xludf.DUMMYFUNCTION("""COMPUTED_VALUE"""),2021.0)</f>
        <v>2021</v>
      </c>
      <c r="D112" s="8" t="str">
        <f>IFERROR(__xludf.DUMMYFUNCTION("""COMPUTED_VALUE"""),"2021/2022")</f>
        <v>2021/2022</v>
      </c>
      <c r="E112" s="9">
        <f>IFERROR(__xludf.DUMMYFUNCTION("""COMPUTED_VALUE"""),44559.0)</f>
        <v>44559</v>
      </c>
      <c r="F112" s="5" t="str">
        <f>IFERROR(__xludf.DUMMYFUNCTION("""COMPUTED_VALUE"""),"Ganjil")</f>
        <v>Ganjil</v>
      </c>
      <c r="G112" s="5" t="str">
        <f>IFERROR(__xludf.DUMMYFUNCTION("""COMPUTED_VALUE"""),"Manajemen")</f>
        <v>Manajemen</v>
      </c>
      <c r="H112" s="10" t="str">
        <f>IFERROR(__xludf.DUMMYFUNCTION("""COMPUTED_VALUE"""),"Mahasiswa")</f>
        <v>Mahasiswa</v>
      </c>
      <c r="I112" s="6" t="str">
        <f>IFERROR(__xludf.DUMMYFUNCTION("""COMPUTED_VALUE"""),"Winda Kartika Sari")</f>
        <v>Winda Kartika Sari</v>
      </c>
      <c r="J112" s="6" t="str">
        <f>IFERROR(__xludf.DUMMYFUNCTION("""COMPUTED_VALUE"""),"Hestin")</f>
        <v>Hestin</v>
      </c>
      <c r="K112" s="6"/>
      <c r="L112" s="6"/>
      <c r="M112" s="6"/>
      <c r="N112" s="6"/>
      <c r="O112" s="6"/>
      <c r="P112" s="10" t="str">
        <f>IFERROR(__xludf.DUMMYFUNCTION("""COMPUTED_VALUE"""),"Winda Kartika Sari,Hestin,,")</f>
        <v>Winda Kartika Sari,Hestin,,</v>
      </c>
      <c r="Q112" s="11" t="str">
        <f>IFERROR(__xludf.DUMMYFUNCTION("""COMPUTED_VALUE"""),"https://jurnal.unsil.ac.id/index.php/jem")</f>
        <v>https://jurnal.unsil.ac.id/index.php/jem</v>
      </c>
      <c r="R112" s="6"/>
    </row>
    <row r="113">
      <c r="A113" s="5">
        <f>IFERROR(__xludf.DUMMYFUNCTION("""COMPUTED_VALUE"""),112.0)</f>
        <v>112</v>
      </c>
      <c r="B113" s="6" t="str">
        <f>IFERROR(__xludf.DUMMYFUNCTION("""COMPUTED_VALUE"""),"PENGARUH KEBUTUHAN, PENDAPATAN, HARGA, DAN CITRA MEREK TERHADAP KEPUTUSAN PEMBELIAN MOTOR MATIC BEAT DI ASTRA MOTOR SOLO BARU")</f>
        <v>PENGARUH KEBUTUHAN, PENDAPATAN, HARGA, DAN CITRA MEREK TERHADAP KEPUTUSAN PEMBELIAN MOTOR MATIC BEAT DI ASTRA MOTOR SOLO BARU</v>
      </c>
      <c r="C113" s="7">
        <f>IFERROR(__xludf.DUMMYFUNCTION("""COMPUTED_VALUE"""),2021.0)</f>
        <v>2021</v>
      </c>
      <c r="D113" s="8" t="str">
        <f>IFERROR(__xludf.DUMMYFUNCTION("""COMPUTED_VALUE"""),"2021/2022")</f>
        <v>2021/2022</v>
      </c>
      <c r="E113" s="9">
        <f>IFERROR(__xludf.DUMMYFUNCTION("""COMPUTED_VALUE"""),44559.0)</f>
        <v>44559</v>
      </c>
      <c r="F113" s="5" t="str">
        <f>IFERROR(__xludf.DUMMYFUNCTION("""COMPUTED_VALUE"""),"Ganjil")</f>
        <v>Ganjil</v>
      </c>
      <c r="G113" s="5" t="str">
        <f>IFERROR(__xludf.DUMMYFUNCTION("""COMPUTED_VALUE"""),"Manajemen")</f>
        <v>Manajemen</v>
      </c>
      <c r="H113" s="10" t="str">
        <f>IFERROR(__xludf.DUMMYFUNCTION("""COMPUTED_VALUE"""),"Mahasiswa")</f>
        <v>Mahasiswa</v>
      </c>
      <c r="I113" s="6" t="str">
        <f>IFERROR(__xludf.DUMMYFUNCTION("""COMPUTED_VALUE"""),"Nandya Damar")</f>
        <v>Nandya Damar</v>
      </c>
      <c r="J113" s="6" t="str">
        <f>IFERROR(__xludf.DUMMYFUNCTION("""COMPUTED_VALUE"""),"Christiawan Hendratmoko")</f>
        <v>Christiawan Hendratmoko</v>
      </c>
      <c r="K113" s="6"/>
      <c r="L113" s="6"/>
      <c r="M113" s="6"/>
      <c r="N113" s="6"/>
      <c r="O113" s="6"/>
      <c r="P113" s="10" t="str">
        <f>IFERROR(__xludf.DUMMYFUNCTION("""COMPUTED_VALUE"""),"Nandya Damar,Christiawan Hendratmoko,,")</f>
        <v>Nandya Damar,Christiawan Hendratmoko,,</v>
      </c>
      <c r="Q113" s="6"/>
      <c r="R113" s="6"/>
    </row>
    <row r="114">
      <c r="A114" s="5">
        <f>IFERROR(__xludf.DUMMYFUNCTION("""COMPUTED_VALUE"""),113.0)</f>
        <v>113</v>
      </c>
      <c r="B114" s="6" t="str">
        <f>IFERROR(__xludf.DUMMYFUNCTION("""COMPUTED_VALUE"""),"ANALISIS PENGARUH KUALITAS PRODUK, PROMOSI, DAN BRAND IMAGE TERHADAP KEPUTUSAN PEMBELIAN HONDA BEAT DI SURAKARTA")</f>
        <v>ANALISIS PENGARUH KUALITAS PRODUK, PROMOSI, DAN BRAND IMAGE TERHADAP KEPUTUSAN PEMBELIAN HONDA BEAT DI SURAKARTA</v>
      </c>
      <c r="C114" s="7">
        <f>IFERROR(__xludf.DUMMYFUNCTION("""COMPUTED_VALUE"""),2021.0)</f>
        <v>2021</v>
      </c>
      <c r="D114" s="8" t="str">
        <f>IFERROR(__xludf.DUMMYFUNCTION("""COMPUTED_VALUE"""),"2021/2022")</f>
        <v>2021/2022</v>
      </c>
      <c r="E114" s="9">
        <f>IFERROR(__xludf.DUMMYFUNCTION("""COMPUTED_VALUE"""),44559.0)</f>
        <v>44559</v>
      </c>
      <c r="F114" s="5" t="str">
        <f>IFERROR(__xludf.DUMMYFUNCTION("""COMPUTED_VALUE"""),"Ganjil")</f>
        <v>Ganjil</v>
      </c>
      <c r="G114" s="5" t="str">
        <f>IFERROR(__xludf.DUMMYFUNCTION("""COMPUTED_VALUE"""),"Manajemen")</f>
        <v>Manajemen</v>
      </c>
      <c r="H114" s="10" t="str">
        <f>IFERROR(__xludf.DUMMYFUNCTION("""COMPUTED_VALUE"""),"Mahasiswa")</f>
        <v>Mahasiswa</v>
      </c>
      <c r="I114" s="6" t="str">
        <f>IFERROR(__xludf.DUMMYFUNCTION("""COMPUTED_VALUE"""),"Ferdianto Bagus")</f>
        <v>Ferdianto Bagus</v>
      </c>
      <c r="J114" s="6" t="str">
        <f>IFERROR(__xludf.DUMMYFUNCTION("""COMPUTED_VALUE"""),"Heny Kurnianingsih")</f>
        <v>Heny Kurnianingsih</v>
      </c>
      <c r="K114" s="6"/>
      <c r="L114" s="6"/>
      <c r="M114" s="6"/>
      <c r="N114" s="6"/>
      <c r="O114" s="6"/>
      <c r="P114" s="10" t="str">
        <f>IFERROR(__xludf.DUMMYFUNCTION("""COMPUTED_VALUE"""),"Ferdianto Bagus,Heny Kurnianingsih,,")</f>
        <v>Ferdianto Bagus,Heny Kurnianingsih,,</v>
      </c>
      <c r="Q114" s="6"/>
      <c r="R114" s="6"/>
    </row>
    <row r="115">
      <c r="A115" s="5">
        <f>IFERROR(__xludf.DUMMYFUNCTION("""COMPUTED_VALUE"""),114.0)</f>
        <v>114</v>
      </c>
      <c r="B115" s="6" t="str">
        <f>IFERROR(__xludf.DUMMYFUNCTION("""COMPUTED_VALUE"""),"PENGARUH HARGA, PELAYANAN, KUALITAS PRODUK, DAN CITRA MEREK TERHADAP KEPUTUSAN PEMBELIAN TAS CHIBAO DI TOKO BUNGA CANTIK")</f>
        <v>PENGARUH HARGA, PELAYANAN, KUALITAS PRODUK, DAN CITRA MEREK TERHADAP KEPUTUSAN PEMBELIAN TAS CHIBAO DI TOKO BUNGA CANTIK</v>
      </c>
      <c r="C115" s="7">
        <f>IFERROR(__xludf.DUMMYFUNCTION("""COMPUTED_VALUE"""),2021.0)</f>
        <v>2021</v>
      </c>
      <c r="D115" s="8" t="str">
        <f>IFERROR(__xludf.DUMMYFUNCTION("""COMPUTED_VALUE"""),"2021/2022")</f>
        <v>2021/2022</v>
      </c>
      <c r="E115" s="9">
        <f>IFERROR(__xludf.DUMMYFUNCTION("""COMPUTED_VALUE"""),44559.0)</f>
        <v>44559</v>
      </c>
      <c r="F115" s="5" t="str">
        <f>IFERROR(__xludf.DUMMYFUNCTION("""COMPUTED_VALUE"""),"Ganjil")</f>
        <v>Ganjil</v>
      </c>
      <c r="G115" s="5" t="str">
        <f>IFERROR(__xludf.DUMMYFUNCTION("""COMPUTED_VALUE"""),"Manajemen")</f>
        <v>Manajemen</v>
      </c>
      <c r="H115" s="10" t="str">
        <f>IFERROR(__xludf.DUMMYFUNCTION("""COMPUTED_VALUE"""),"Mahasiswa")</f>
        <v>Mahasiswa</v>
      </c>
      <c r="I115" s="6" t="str">
        <f>IFERROR(__xludf.DUMMYFUNCTION("""COMPUTED_VALUE"""),"Indri Apriastuti")</f>
        <v>Indri Apriastuti</v>
      </c>
      <c r="J115" s="6" t="str">
        <f>IFERROR(__xludf.DUMMYFUNCTION("""COMPUTED_VALUE"""),"Christiawan Hendratmoko")</f>
        <v>Christiawan Hendratmoko</v>
      </c>
      <c r="K115" s="6"/>
      <c r="L115" s="6"/>
      <c r="M115" s="6"/>
      <c r="N115" s="6"/>
      <c r="O115" s="6"/>
      <c r="P115" s="10" t="str">
        <f>IFERROR(__xludf.DUMMYFUNCTION("""COMPUTED_VALUE"""),"Indri Apriastuti,Christiawan Hendratmoko,,")</f>
        <v>Indri Apriastuti,Christiawan Hendratmoko,,</v>
      </c>
      <c r="Q115" s="6"/>
      <c r="R115" s="6"/>
    </row>
    <row r="116">
      <c r="A116" s="5">
        <f>IFERROR(__xludf.DUMMYFUNCTION("""COMPUTED_VALUE"""),115.0)</f>
        <v>115</v>
      </c>
      <c r="B116" s="6" t="str">
        <f>IFERROR(__xludf.DUMMYFUNCTION("""COMPUTED_VALUE"""),"PENGARUH KUALITAS PRODUK, HARGA, DESAIN PRODUK DAN CITRA MEREK TERHADAP KEPUASAN KONSUMEN (Survei Pada Pemilik Sepeda Motor Honda Scoopy Di Surakarta )")</f>
        <v>PENGARUH KUALITAS PRODUK, HARGA, DESAIN PRODUK DAN CITRA MEREK TERHADAP KEPUASAN KONSUMEN (Survei Pada Pemilik Sepeda Motor Honda Scoopy Di Surakarta )</v>
      </c>
      <c r="C116" s="7">
        <f>IFERROR(__xludf.DUMMYFUNCTION("""COMPUTED_VALUE"""),2021.0)</f>
        <v>2021</v>
      </c>
      <c r="D116" s="8" t="str">
        <f>IFERROR(__xludf.DUMMYFUNCTION("""COMPUTED_VALUE"""),"2021/2022")</f>
        <v>2021/2022</v>
      </c>
      <c r="E116" s="9">
        <f>IFERROR(__xludf.DUMMYFUNCTION("""COMPUTED_VALUE"""),44559.0)</f>
        <v>44559</v>
      </c>
      <c r="F116" s="5" t="str">
        <f>IFERROR(__xludf.DUMMYFUNCTION("""COMPUTED_VALUE"""),"Ganjil")</f>
        <v>Ganjil</v>
      </c>
      <c r="G116" s="5" t="str">
        <f>IFERROR(__xludf.DUMMYFUNCTION("""COMPUTED_VALUE"""),"Manajemen")</f>
        <v>Manajemen</v>
      </c>
      <c r="H116" s="10" t="str">
        <f>IFERROR(__xludf.DUMMYFUNCTION("""COMPUTED_VALUE"""),"Mahasiswa")</f>
        <v>Mahasiswa</v>
      </c>
      <c r="I116" s="6" t="str">
        <f>IFERROR(__xludf.DUMMYFUNCTION("""COMPUTED_VALUE"""),"Moneta Caesaria")</f>
        <v>Moneta Caesaria</v>
      </c>
      <c r="J116" s="6" t="str">
        <f>IFERROR(__xludf.DUMMYFUNCTION("""COMPUTED_VALUE"""),"Christiawan Hendratmoko")</f>
        <v>Christiawan Hendratmoko</v>
      </c>
      <c r="K116" s="6"/>
      <c r="L116" s="6"/>
      <c r="M116" s="6"/>
      <c r="N116" s="6"/>
      <c r="O116" s="6"/>
      <c r="P116" s="10" t="str">
        <f>IFERROR(__xludf.DUMMYFUNCTION("""COMPUTED_VALUE"""),"Moneta Caesaria,Christiawan Hendratmoko,,")</f>
        <v>Moneta Caesaria,Christiawan Hendratmoko,,</v>
      </c>
      <c r="Q116" s="6"/>
      <c r="R116" s="6"/>
    </row>
    <row r="117">
      <c r="A117" s="5">
        <f>IFERROR(__xludf.DUMMYFUNCTION("""COMPUTED_VALUE"""),116.0)</f>
        <v>116</v>
      </c>
      <c r="B117" s="6" t="str">
        <f>IFERROR(__xludf.DUMMYFUNCTION("""COMPUTED_VALUE"""),"ANALISIS PENGARUH BUKTI FISIK, JAMINAN, EMPATI, RESPONBILITY DAN RELIABILITY TERHADAP KEPUASAN PELANGGAN DI MATAHARI DAPERTEMENT STORE HARTONO MALL")</f>
        <v>ANALISIS PENGARUH BUKTI FISIK, JAMINAN, EMPATI, RESPONBILITY DAN RELIABILITY TERHADAP KEPUASAN PELANGGAN DI MATAHARI DAPERTEMENT STORE HARTONO MALL</v>
      </c>
      <c r="C117" s="7">
        <f>IFERROR(__xludf.DUMMYFUNCTION("""COMPUTED_VALUE"""),2021.0)</f>
        <v>2021</v>
      </c>
      <c r="D117" s="8" t="str">
        <f>IFERROR(__xludf.DUMMYFUNCTION("""COMPUTED_VALUE"""),"2021/2022")</f>
        <v>2021/2022</v>
      </c>
      <c r="E117" s="9">
        <f>IFERROR(__xludf.DUMMYFUNCTION("""COMPUTED_VALUE"""),44559.0)</f>
        <v>44559</v>
      </c>
      <c r="F117" s="5" t="str">
        <f>IFERROR(__xludf.DUMMYFUNCTION("""COMPUTED_VALUE"""),"Ganjil")</f>
        <v>Ganjil</v>
      </c>
      <c r="G117" s="5" t="str">
        <f>IFERROR(__xludf.DUMMYFUNCTION("""COMPUTED_VALUE"""),"Manajemen")</f>
        <v>Manajemen</v>
      </c>
      <c r="H117" s="10" t="str">
        <f>IFERROR(__xludf.DUMMYFUNCTION("""COMPUTED_VALUE"""),"Mahasiswa")</f>
        <v>Mahasiswa</v>
      </c>
      <c r="I117" s="6" t="str">
        <f>IFERROR(__xludf.DUMMYFUNCTION("""COMPUTED_VALUE"""),"Ulfah Yushfillah")</f>
        <v>Ulfah Yushfillah</v>
      </c>
      <c r="J117" s="6" t="str">
        <f>IFERROR(__xludf.DUMMYFUNCTION("""COMPUTED_VALUE"""),"Andri Nurtantiono")</f>
        <v>Andri Nurtantiono</v>
      </c>
      <c r="K117" s="6"/>
      <c r="L117" s="6"/>
      <c r="M117" s="6"/>
      <c r="N117" s="6"/>
      <c r="O117" s="6"/>
      <c r="P117" s="10" t="str">
        <f>IFERROR(__xludf.DUMMYFUNCTION("""COMPUTED_VALUE"""),"Ulfah Yushfillah,Andri Nurtantiono,,")</f>
        <v>Ulfah Yushfillah,Andri Nurtantiono,,</v>
      </c>
      <c r="Q117" s="6"/>
      <c r="R117" s="6"/>
    </row>
    <row r="118">
      <c r="A118" s="5">
        <f>IFERROR(__xludf.DUMMYFUNCTION("""COMPUTED_VALUE"""),117.0)</f>
        <v>117</v>
      </c>
      <c r="B118" s="6" t="str">
        <f>IFERROR(__xludf.DUMMYFUNCTION("""COMPUTED_VALUE"""),"PENGARUH LOYALITAS MEREK, PRESEPSI KONSUMENDAN KEPERCAYAAN KONSUMEN TERHADAP KEPUTUSAN PEMBELIAN SEPEDA MOTOR HONDA DI BANYUDONO")</f>
        <v>PENGARUH LOYALITAS MEREK, PRESEPSI KONSUMENDAN KEPERCAYAAN KONSUMEN TERHADAP KEPUTUSAN PEMBELIAN SEPEDA MOTOR HONDA DI BANYUDONO</v>
      </c>
      <c r="C118" s="7">
        <f>IFERROR(__xludf.DUMMYFUNCTION("""COMPUTED_VALUE"""),2021.0)</f>
        <v>2021</v>
      </c>
      <c r="D118" s="8" t="str">
        <f>IFERROR(__xludf.DUMMYFUNCTION("""COMPUTED_VALUE"""),"2021/2022")</f>
        <v>2021/2022</v>
      </c>
      <c r="E118" s="9">
        <f>IFERROR(__xludf.DUMMYFUNCTION("""COMPUTED_VALUE"""),44559.0)</f>
        <v>44559</v>
      </c>
      <c r="F118" s="5" t="str">
        <f>IFERROR(__xludf.DUMMYFUNCTION("""COMPUTED_VALUE"""),"Ganjil")</f>
        <v>Ganjil</v>
      </c>
      <c r="G118" s="5" t="str">
        <f>IFERROR(__xludf.DUMMYFUNCTION("""COMPUTED_VALUE"""),"Manajemen")</f>
        <v>Manajemen</v>
      </c>
      <c r="H118" s="10" t="str">
        <f>IFERROR(__xludf.DUMMYFUNCTION("""COMPUTED_VALUE"""),"Mahasiswa")</f>
        <v>Mahasiswa</v>
      </c>
      <c r="I118" s="6" t="str">
        <f>IFERROR(__xludf.DUMMYFUNCTION("""COMPUTED_VALUE"""),"Sapta Dwi Jayanti")</f>
        <v>Sapta Dwi Jayanti</v>
      </c>
      <c r="J118" s="6" t="str">
        <f>IFERROR(__xludf.DUMMYFUNCTION("""COMPUTED_VALUE"""),"Hestin")</f>
        <v>Hestin</v>
      </c>
      <c r="K118" s="6"/>
      <c r="L118" s="6"/>
      <c r="M118" s="6"/>
      <c r="N118" s="6"/>
      <c r="O118" s="6"/>
      <c r="P118" s="10" t="str">
        <f>IFERROR(__xludf.DUMMYFUNCTION("""COMPUTED_VALUE"""),"Sapta Dwi Jayanti,Hestin,,")</f>
        <v>Sapta Dwi Jayanti,Hestin,,</v>
      </c>
      <c r="Q118" s="11" t="str">
        <f>IFERROR(__xludf.DUMMYFUNCTION("""COMPUTED_VALUE"""),"https://jurnal.unsil.ac.id/index.php/jem")</f>
        <v>https://jurnal.unsil.ac.id/index.php/jem</v>
      </c>
      <c r="R118" s="6"/>
    </row>
    <row r="119">
      <c r="A119" s="5">
        <f>IFERROR(__xludf.DUMMYFUNCTION("""COMPUTED_VALUE"""),118.0)</f>
        <v>118</v>
      </c>
      <c r="B119" s="6" t="str">
        <f>IFERROR(__xludf.DUMMYFUNCTION("""COMPUTED_VALUE"""),"ANALISIS OUTPUT PRODUKSI DALAM PEMBUATAN CELANA DI PT. MEGAH ARTA GARMENTS SOLO")</f>
        <v>ANALISIS OUTPUT PRODUKSI DALAM PEMBUATAN CELANA DI PT. MEGAH ARTA GARMENTS SOLO</v>
      </c>
      <c r="C119" s="7">
        <f>IFERROR(__xludf.DUMMYFUNCTION("""COMPUTED_VALUE"""),2021.0)</f>
        <v>2021</v>
      </c>
      <c r="D119" s="8" t="str">
        <f>IFERROR(__xludf.DUMMYFUNCTION("""COMPUTED_VALUE"""),"2021/2022")</f>
        <v>2021/2022</v>
      </c>
      <c r="E119" s="9">
        <f>IFERROR(__xludf.DUMMYFUNCTION("""COMPUTED_VALUE"""),44559.0)</f>
        <v>44559</v>
      </c>
      <c r="F119" s="5" t="str">
        <f>IFERROR(__xludf.DUMMYFUNCTION("""COMPUTED_VALUE"""),"Ganjil")</f>
        <v>Ganjil</v>
      </c>
      <c r="G119" s="5" t="str">
        <f>IFERROR(__xludf.DUMMYFUNCTION("""COMPUTED_VALUE"""),"Manajemen")</f>
        <v>Manajemen</v>
      </c>
      <c r="H119" s="10" t="str">
        <f>IFERROR(__xludf.DUMMYFUNCTION("""COMPUTED_VALUE"""),"Mahasiswa")</f>
        <v>Mahasiswa</v>
      </c>
      <c r="I119" s="6" t="str">
        <f>IFERROR(__xludf.DUMMYFUNCTION("""COMPUTED_VALUE"""),"Azizah Lisaudah")</f>
        <v>Azizah Lisaudah</v>
      </c>
      <c r="J119" s="6" t="str">
        <f>IFERROR(__xludf.DUMMYFUNCTION("""COMPUTED_VALUE"""),"Ida Ayu Kade")</f>
        <v>Ida Ayu Kade</v>
      </c>
      <c r="K119" s="6"/>
      <c r="L119" s="6"/>
      <c r="M119" s="6"/>
      <c r="N119" s="6"/>
      <c r="O119" s="6"/>
      <c r="P119" s="10" t="str">
        <f>IFERROR(__xludf.DUMMYFUNCTION("""COMPUTED_VALUE"""),"Azizah Lisaudah,Ida Ayu Kade,,")</f>
        <v>Azizah Lisaudah,Ida Ayu Kade,,</v>
      </c>
      <c r="Q119" s="11" t="str">
        <f>IFERROR(__xludf.DUMMYFUNCTION("""COMPUTED_VALUE"""),"https://jurnal.unsil.ac.id/index.php/jem")</f>
        <v>https://jurnal.unsil.ac.id/index.php/jem</v>
      </c>
      <c r="R119" s="6"/>
    </row>
    <row r="120">
      <c r="A120" s="5">
        <f>IFERROR(__xludf.DUMMYFUNCTION("""COMPUTED_VALUE"""),119.0)</f>
        <v>119</v>
      </c>
      <c r="B120" s="6" t="str">
        <f>IFERROR(__xludf.DUMMYFUNCTION("""COMPUTED_VALUE"""),"PENGARUH CITRA MEREK, KUALITAS PRODUK, HARGA DAN PROMOSI TERHADAP KEPUTUSAN PEMBELIAN PRODUK MAKE OVER KOSMETIK DI KABUPATEN KLATEN")</f>
        <v>PENGARUH CITRA MEREK, KUALITAS PRODUK, HARGA DAN PROMOSI TERHADAP KEPUTUSAN PEMBELIAN PRODUK MAKE OVER KOSMETIK DI KABUPATEN KLATEN</v>
      </c>
      <c r="C120" s="7">
        <f>IFERROR(__xludf.DUMMYFUNCTION("""COMPUTED_VALUE"""),2021.0)</f>
        <v>2021</v>
      </c>
      <c r="D120" s="8" t="str">
        <f>IFERROR(__xludf.DUMMYFUNCTION("""COMPUTED_VALUE"""),"2021/2022")</f>
        <v>2021/2022</v>
      </c>
      <c r="E120" s="9">
        <f>IFERROR(__xludf.DUMMYFUNCTION("""COMPUTED_VALUE"""),44559.0)</f>
        <v>44559</v>
      </c>
      <c r="F120" s="5" t="str">
        <f>IFERROR(__xludf.DUMMYFUNCTION("""COMPUTED_VALUE"""),"Ganjil")</f>
        <v>Ganjil</v>
      </c>
      <c r="G120" s="5" t="str">
        <f>IFERROR(__xludf.DUMMYFUNCTION("""COMPUTED_VALUE"""),"Manajemen")</f>
        <v>Manajemen</v>
      </c>
      <c r="H120" s="10" t="str">
        <f>IFERROR(__xludf.DUMMYFUNCTION("""COMPUTED_VALUE"""),"Mahasiswa")</f>
        <v>Mahasiswa</v>
      </c>
      <c r="I120" s="6" t="str">
        <f>IFERROR(__xludf.DUMMYFUNCTION("""COMPUTED_VALUE"""),"Tiyas Nurhayati")</f>
        <v>Tiyas Nurhayati</v>
      </c>
      <c r="J120" s="6" t="str">
        <f>IFERROR(__xludf.DUMMYFUNCTION("""COMPUTED_VALUE"""),"Christiawan Hendratmoko")</f>
        <v>Christiawan Hendratmoko</v>
      </c>
      <c r="K120" s="6"/>
      <c r="L120" s="6"/>
      <c r="M120" s="6"/>
      <c r="N120" s="6"/>
      <c r="O120" s="6"/>
      <c r="P120" s="10" t="str">
        <f>IFERROR(__xludf.DUMMYFUNCTION("""COMPUTED_VALUE"""),"Tiyas Nurhayati,Christiawan Hendratmoko,,")</f>
        <v>Tiyas Nurhayati,Christiawan Hendratmoko,,</v>
      </c>
      <c r="Q120" s="6"/>
      <c r="R120" s="6"/>
    </row>
    <row r="121">
      <c r="A121" s="5">
        <f>IFERROR(__xludf.DUMMYFUNCTION("""COMPUTED_VALUE"""),120.0)</f>
        <v>120</v>
      </c>
      <c r="B121" s="6" t="str">
        <f>IFERROR(__xludf.DUMMYFUNCTION("""COMPUTED_VALUE"""),"ANALISIS POSITIONING MARKET PLACE DI INDONESIA DENGAN METODE MULTIDIMENSIONAL SCALING BERDASARKAN PERSEPSI KONSUMEN (STUDI PADA KONSUMEN MAHASISWA SEKOLAH TINGGI ILMU EKONOMI SURAKARTA)")</f>
        <v>ANALISIS POSITIONING MARKET PLACE DI INDONESIA DENGAN METODE MULTIDIMENSIONAL SCALING BERDASARKAN PERSEPSI KONSUMEN (STUDI PADA KONSUMEN MAHASISWA SEKOLAH TINGGI ILMU EKONOMI SURAKARTA)</v>
      </c>
      <c r="C121" s="7">
        <f>IFERROR(__xludf.DUMMYFUNCTION("""COMPUTED_VALUE"""),2021.0)</f>
        <v>2021</v>
      </c>
      <c r="D121" s="8" t="str">
        <f>IFERROR(__xludf.DUMMYFUNCTION("""COMPUTED_VALUE"""),"2021/2022")</f>
        <v>2021/2022</v>
      </c>
      <c r="E121" s="9">
        <f>IFERROR(__xludf.DUMMYFUNCTION("""COMPUTED_VALUE"""),44559.0)</f>
        <v>44559</v>
      </c>
      <c r="F121" s="5" t="str">
        <f>IFERROR(__xludf.DUMMYFUNCTION("""COMPUTED_VALUE"""),"Ganjil")</f>
        <v>Ganjil</v>
      </c>
      <c r="G121" s="5" t="str">
        <f>IFERROR(__xludf.DUMMYFUNCTION("""COMPUTED_VALUE"""),"Manajemen")</f>
        <v>Manajemen</v>
      </c>
      <c r="H121" s="10" t="str">
        <f>IFERROR(__xludf.DUMMYFUNCTION("""COMPUTED_VALUE"""),"Mahasiswa")</f>
        <v>Mahasiswa</v>
      </c>
      <c r="I121" s="6" t="str">
        <f>IFERROR(__xludf.DUMMYFUNCTION("""COMPUTED_VALUE"""),"Juni Kristanto")</f>
        <v>Juni Kristanto</v>
      </c>
      <c r="J121" s="6" t="str">
        <f>IFERROR(__xludf.DUMMYFUNCTION("""COMPUTED_VALUE"""),"Hestin")</f>
        <v>Hestin</v>
      </c>
      <c r="K121" s="6"/>
      <c r="L121" s="6"/>
      <c r="M121" s="6"/>
      <c r="N121" s="6"/>
      <c r="O121" s="6"/>
      <c r="P121" s="10" t="str">
        <f>IFERROR(__xludf.DUMMYFUNCTION("""COMPUTED_VALUE"""),"Juni Kristanto,Hestin,,")</f>
        <v>Juni Kristanto,Hestin,,</v>
      </c>
      <c r="Q121" s="6"/>
      <c r="R121" s="6"/>
    </row>
    <row r="122">
      <c r="A122" s="5">
        <f>IFERROR(__xludf.DUMMYFUNCTION("""COMPUTED_VALUE"""),121.0)</f>
        <v>121</v>
      </c>
      <c r="B122" s="6" t="str">
        <f>IFERROR(__xludf.DUMMYFUNCTION("""COMPUTED_VALUE"""),"PENGARUH SALES PROMOTION, POSITIVE EMOTIONS DAN HEDONIC SHOPPING TERHADAP IMPULSE BUYING MELALUI E-COMMERCE PADA MASYARAKAT SURAKARTA")</f>
        <v>PENGARUH SALES PROMOTION, POSITIVE EMOTIONS DAN HEDONIC SHOPPING TERHADAP IMPULSE BUYING MELALUI E-COMMERCE PADA MASYARAKAT SURAKARTA</v>
      </c>
      <c r="C122" s="7">
        <f>IFERROR(__xludf.DUMMYFUNCTION("""COMPUTED_VALUE"""),2021.0)</f>
        <v>2021</v>
      </c>
      <c r="D122" s="8" t="str">
        <f>IFERROR(__xludf.DUMMYFUNCTION("""COMPUTED_VALUE"""),"2021/2022")</f>
        <v>2021/2022</v>
      </c>
      <c r="E122" s="9">
        <f>IFERROR(__xludf.DUMMYFUNCTION("""COMPUTED_VALUE"""),44559.0)</f>
        <v>44559</v>
      </c>
      <c r="F122" s="5" t="str">
        <f>IFERROR(__xludf.DUMMYFUNCTION("""COMPUTED_VALUE"""),"Ganjil")</f>
        <v>Ganjil</v>
      </c>
      <c r="G122" s="5" t="str">
        <f>IFERROR(__xludf.DUMMYFUNCTION("""COMPUTED_VALUE"""),"Manajemen")</f>
        <v>Manajemen</v>
      </c>
      <c r="H122" s="10" t="str">
        <f>IFERROR(__xludf.DUMMYFUNCTION("""COMPUTED_VALUE"""),"Mahasiswa")</f>
        <v>Mahasiswa</v>
      </c>
      <c r="I122" s="6" t="str">
        <f>IFERROR(__xludf.DUMMYFUNCTION("""COMPUTED_VALUE"""),"Siti Fatimah Susi Tri Fabriana")</f>
        <v>Siti Fatimah Susi Tri Fabriana</v>
      </c>
      <c r="J122" s="6" t="str">
        <f>IFERROR(__xludf.DUMMYFUNCTION("""COMPUTED_VALUE"""),"Ari Susanti")</f>
        <v>Ari Susanti</v>
      </c>
      <c r="K122" s="6"/>
      <c r="L122" s="6"/>
      <c r="M122" s="6"/>
      <c r="N122" s="6"/>
      <c r="O122" s="6"/>
      <c r="P122" s="10" t="str">
        <f>IFERROR(__xludf.DUMMYFUNCTION("""COMPUTED_VALUE"""),"Siti Fatimah Susi Tri Fabriana,Ari Susanti,,")</f>
        <v>Siti Fatimah Susi Tri Fabriana,Ari Susanti,,</v>
      </c>
      <c r="Q122" s="6"/>
      <c r="R122" s="6"/>
    </row>
    <row r="123">
      <c r="A123" s="5">
        <f>IFERROR(__xludf.DUMMYFUNCTION("""COMPUTED_VALUE"""),122.0)</f>
        <v>122</v>
      </c>
      <c r="B123" s="6" t="str">
        <f>IFERROR(__xludf.DUMMYFUNCTION("""COMPUTED_VALUE"""),"ANALISA DETERMINASI KINERJA KARYAWAN PT. BATIK DANAR HADI")</f>
        <v>ANALISA DETERMINASI KINERJA KARYAWAN PT. BATIK DANAR HADI</v>
      </c>
      <c r="C123" s="7">
        <f>IFERROR(__xludf.DUMMYFUNCTION("""COMPUTED_VALUE"""),2021.0)</f>
        <v>2021</v>
      </c>
      <c r="D123" s="8" t="str">
        <f>IFERROR(__xludf.DUMMYFUNCTION("""COMPUTED_VALUE"""),"2021/2022")</f>
        <v>2021/2022</v>
      </c>
      <c r="E123" s="9">
        <f>IFERROR(__xludf.DUMMYFUNCTION("""COMPUTED_VALUE"""),44559.0)</f>
        <v>44559</v>
      </c>
      <c r="F123" s="5" t="str">
        <f>IFERROR(__xludf.DUMMYFUNCTION("""COMPUTED_VALUE"""),"Ganjil")</f>
        <v>Ganjil</v>
      </c>
      <c r="G123" s="5" t="str">
        <f>IFERROR(__xludf.DUMMYFUNCTION("""COMPUTED_VALUE"""),"Akuntansi")</f>
        <v>Akuntansi</v>
      </c>
      <c r="H123" s="10" t="str">
        <f>IFERROR(__xludf.DUMMYFUNCTION("""COMPUTED_VALUE"""),"Mahasiswa")</f>
        <v>Mahasiswa</v>
      </c>
      <c r="I123" s="6" t="str">
        <f>IFERROR(__xludf.DUMMYFUNCTION("""COMPUTED_VALUE"""),"Kyky Indah Kusumawardani")</f>
        <v>Kyky Indah Kusumawardani</v>
      </c>
      <c r="J123" s="6" t="str">
        <f>IFERROR(__xludf.DUMMYFUNCTION("""COMPUTED_VALUE"""),"Arif Nugroho Rachman")</f>
        <v>Arif Nugroho Rachman</v>
      </c>
      <c r="K123" s="6"/>
      <c r="L123" s="6"/>
      <c r="M123" s="6"/>
      <c r="N123" s="6"/>
      <c r="O123" s="6"/>
      <c r="P123" s="10" t="str">
        <f>IFERROR(__xludf.DUMMYFUNCTION("""COMPUTED_VALUE"""),"Kyky Indah Kusumawardani,Arif Nugroho Rachman,,")</f>
        <v>Kyky Indah Kusumawardani,Arif Nugroho Rachman,,</v>
      </c>
      <c r="Q123" s="6"/>
      <c r="R123" s="6"/>
    </row>
    <row r="124">
      <c r="A124" s="5">
        <f>IFERROR(__xludf.DUMMYFUNCTION("""COMPUTED_VALUE"""),123.0)</f>
        <v>123</v>
      </c>
      <c r="B124" s="6" t="str">
        <f>IFERROR(__xludf.DUMMYFUNCTION("""COMPUTED_VALUE"""),"ANALISA DETERMINASI PENDAPATAN UMKM KABUPATEN WONOGIRI")</f>
        <v>ANALISA DETERMINASI PENDAPATAN UMKM KABUPATEN WONOGIRI</v>
      </c>
      <c r="C124" s="7">
        <f>IFERROR(__xludf.DUMMYFUNCTION("""COMPUTED_VALUE"""),2021.0)</f>
        <v>2021</v>
      </c>
      <c r="D124" s="8" t="str">
        <f>IFERROR(__xludf.DUMMYFUNCTION("""COMPUTED_VALUE"""),"2021/2022")</f>
        <v>2021/2022</v>
      </c>
      <c r="E124" s="9">
        <f>IFERROR(__xludf.DUMMYFUNCTION("""COMPUTED_VALUE"""),44559.0)</f>
        <v>44559</v>
      </c>
      <c r="F124" s="5" t="str">
        <f>IFERROR(__xludf.DUMMYFUNCTION("""COMPUTED_VALUE"""),"Ganjil")</f>
        <v>Ganjil</v>
      </c>
      <c r="G124" s="5" t="str">
        <f>IFERROR(__xludf.DUMMYFUNCTION("""COMPUTED_VALUE"""),"Akuntansi")</f>
        <v>Akuntansi</v>
      </c>
      <c r="H124" s="10" t="str">
        <f>IFERROR(__xludf.DUMMYFUNCTION("""COMPUTED_VALUE"""),"Mahasiswa")</f>
        <v>Mahasiswa</v>
      </c>
      <c r="I124" s="6" t="str">
        <f>IFERROR(__xludf.DUMMYFUNCTION("""COMPUTED_VALUE"""),"Nur Cholis")</f>
        <v>Nur Cholis</v>
      </c>
      <c r="J124" s="6" t="str">
        <f>IFERROR(__xludf.DUMMYFUNCTION("""COMPUTED_VALUE"""),"Arif Nugroho Rachman")</f>
        <v>Arif Nugroho Rachman</v>
      </c>
      <c r="K124" s="6"/>
      <c r="L124" s="6"/>
      <c r="M124" s="6"/>
      <c r="N124" s="6"/>
      <c r="O124" s="6"/>
      <c r="P124" s="10" t="str">
        <f>IFERROR(__xludf.DUMMYFUNCTION("""COMPUTED_VALUE"""),"Nur Cholis,Arif Nugroho Rachman,,")</f>
        <v>Nur Cholis,Arif Nugroho Rachman,,</v>
      </c>
      <c r="Q124" s="6"/>
      <c r="R124" s="6"/>
    </row>
    <row r="125">
      <c r="A125" s="5">
        <f>IFERROR(__xludf.DUMMYFUNCTION("""COMPUTED_VALUE"""),124.0)</f>
        <v>124</v>
      </c>
      <c r="B125" s="6" t="str">
        <f>IFERROR(__xludf.DUMMYFUNCTION("""COMPUTED_VALUE"""),"Analisa Determinasi Terhadap Kepatuhan Wajib Pajak Kendaraan Bermotor Di Samsat Surakarta")</f>
        <v>Analisa Determinasi Terhadap Kepatuhan Wajib Pajak Kendaraan Bermotor Di Samsat Surakarta</v>
      </c>
      <c r="C125" s="7">
        <f>IFERROR(__xludf.DUMMYFUNCTION("""COMPUTED_VALUE"""),2021.0)</f>
        <v>2021</v>
      </c>
      <c r="D125" s="8" t="str">
        <f>IFERROR(__xludf.DUMMYFUNCTION("""COMPUTED_VALUE"""),"2021/2022")</f>
        <v>2021/2022</v>
      </c>
      <c r="E125" s="9">
        <f>IFERROR(__xludf.DUMMYFUNCTION("""COMPUTED_VALUE"""),44559.0)</f>
        <v>44559</v>
      </c>
      <c r="F125" s="5" t="str">
        <f>IFERROR(__xludf.DUMMYFUNCTION("""COMPUTED_VALUE"""),"Ganjil")</f>
        <v>Ganjil</v>
      </c>
      <c r="G125" s="5" t="str">
        <f>IFERROR(__xludf.DUMMYFUNCTION("""COMPUTED_VALUE"""),"Akuntansi")</f>
        <v>Akuntansi</v>
      </c>
      <c r="H125" s="10" t="str">
        <f>IFERROR(__xludf.DUMMYFUNCTION("""COMPUTED_VALUE"""),"Mahasiswa")</f>
        <v>Mahasiswa</v>
      </c>
      <c r="I125" s="6" t="str">
        <f>IFERROR(__xludf.DUMMYFUNCTION("""COMPUTED_VALUE"""),"Siti Fatonah Nur Azizah")</f>
        <v>Siti Fatonah Nur Azizah</v>
      </c>
      <c r="J125" s="6" t="str">
        <f>IFERROR(__xludf.DUMMYFUNCTION("""COMPUTED_VALUE"""),"Arif Nugroho Rachman")</f>
        <v>Arif Nugroho Rachman</v>
      </c>
      <c r="K125" s="6"/>
      <c r="L125" s="6"/>
      <c r="M125" s="6"/>
      <c r="N125" s="6"/>
      <c r="O125" s="6"/>
      <c r="P125" s="10" t="str">
        <f>IFERROR(__xludf.DUMMYFUNCTION("""COMPUTED_VALUE"""),"Siti Fatonah Nur Azizah,Arif Nugroho Rachman,,")</f>
        <v>Siti Fatonah Nur Azizah,Arif Nugroho Rachman,,</v>
      </c>
      <c r="Q125" s="11" t="str">
        <f>IFERROR(__xludf.DUMMYFUNCTION("""COMPUTED_VALUE"""),"https://jim.usk.ac.id/EKA/article/view/16438")</f>
        <v>https://jim.usk.ac.id/EKA/article/view/16438</v>
      </c>
      <c r="R125" s="6"/>
    </row>
    <row r="126">
      <c r="A126" s="5">
        <f>IFERROR(__xludf.DUMMYFUNCTION("""COMPUTED_VALUE"""),125.0)</f>
        <v>125</v>
      </c>
      <c r="B126" s="6" t="str">
        <f>IFERROR(__xludf.DUMMYFUNCTION("""COMPUTED_VALUE"""),"ANALISA DETERMINASI TERHADAP PENDAPATAN UMKM ALUN-ALUN KIDUL BOYOLALI")</f>
        <v>ANALISA DETERMINASI TERHADAP PENDAPATAN UMKM ALUN-ALUN KIDUL BOYOLALI</v>
      </c>
      <c r="C126" s="7">
        <f>IFERROR(__xludf.DUMMYFUNCTION("""COMPUTED_VALUE"""),2021.0)</f>
        <v>2021</v>
      </c>
      <c r="D126" s="8" t="str">
        <f>IFERROR(__xludf.DUMMYFUNCTION("""COMPUTED_VALUE"""),"2021/2022")</f>
        <v>2021/2022</v>
      </c>
      <c r="E126" s="9">
        <f>IFERROR(__xludf.DUMMYFUNCTION("""COMPUTED_VALUE"""),44559.0)</f>
        <v>44559</v>
      </c>
      <c r="F126" s="5" t="str">
        <f>IFERROR(__xludf.DUMMYFUNCTION("""COMPUTED_VALUE"""),"Ganjil")</f>
        <v>Ganjil</v>
      </c>
      <c r="G126" s="5" t="str">
        <f>IFERROR(__xludf.DUMMYFUNCTION("""COMPUTED_VALUE"""),"Akuntansi")</f>
        <v>Akuntansi</v>
      </c>
      <c r="H126" s="10" t="str">
        <f>IFERROR(__xludf.DUMMYFUNCTION("""COMPUTED_VALUE"""),"Mahasiswa")</f>
        <v>Mahasiswa</v>
      </c>
      <c r="I126" s="6" t="str">
        <f>IFERROR(__xludf.DUMMYFUNCTION("""COMPUTED_VALUE"""),"Anna Muslimah")</f>
        <v>Anna Muslimah</v>
      </c>
      <c r="J126" s="6" t="str">
        <f>IFERROR(__xludf.DUMMYFUNCTION("""COMPUTED_VALUE"""),"Arif Nugroho Rachman")</f>
        <v>Arif Nugroho Rachman</v>
      </c>
      <c r="K126" s="6"/>
      <c r="L126" s="6"/>
      <c r="M126" s="6"/>
      <c r="N126" s="6"/>
      <c r="O126" s="6"/>
      <c r="P126" s="10" t="str">
        <f>IFERROR(__xludf.DUMMYFUNCTION("""COMPUTED_VALUE"""),"Anna Muslimah,Arif Nugroho Rachman,,")</f>
        <v>Anna Muslimah,Arif Nugroho Rachman,,</v>
      </c>
      <c r="Q126" s="6"/>
      <c r="R126" s="6"/>
    </row>
    <row r="127">
      <c r="A127" s="5">
        <f>IFERROR(__xludf.DUMMYFUNCTION("""COMPUTED_VALUE"""),126.0)</f>
        <v>126</v>
      </c>
      <c r="B127" s="6" t="str">
        <f>IFERROR(__xludf.DUMMYFUNCTION("""COMPUTED_VALUE"""),"ANALISAPENGARUH KEPATUHAN WAJIB PAJAK KENDARAAN BERMOTOR KABUPATEN WONOGIRI")</f>
        <v>ANALISAPENGARUH KEPATUHAN WAJIB PAJAK KENDARAAN BERMOTOR KABUPATEN WONOGIRI</v>
      </c>
      <c r="C127" s="7">
        <f>IFERROR(__xludf.DUMMYFUNCTION("""COMPUTED_VALUE"""),2021.0)</f>
        <v>2021</v>
      </c>
      <c r="D127" s="8" t="str">
        <f>IFERROR(__xludf.DUMMYFUNCTION("""COMPUTED_VALUE"""),"2021/2022")</f>
        <v>2021/2022</v>
      </c>
      <c r="E127" s="9">
        <f>IFERROR(__xludf.DUMMYFUNCTION("""COMPUTED_VALUE"""),44559.0)</f>
        <v>44559</v>
      </c>
      <c r="F127" s="5" t="str">
        <f>IFERROR(__xludf.DUMMYFUNCTION("""COMPUTED_VALUE"""),"Ganjil")</f>
        <v>Ganjil</v>
      </c>
      <c r="G127" s="5" t="str">
        <f>IFERROR(__xludf.DUMMYFUNCTION("""COMPUTED_VALUE"""),"Akuntansi")</f>
        <v>Akuntansi</v>
      </c>
      <c r="H127" s="10" t="str">
        <f>IFERROR(__xludf.DUMMYFUNCTION("""COMPUTED_VALUE"""),"Mahasiswa")</f>
        <v>Mahasiswa</v>
      </c>
      <c r="I127" s="6" t="str">
        <f>IFERROR(__xludf.DUMMYFUNCTION("""COMPUTED_VALUE"""),"Gede Ayu Sakura")</f>
        <v>Gede Ayu Sakura</v>
      </c>
      <c r="J127" s="6" t="str">
        <f>IFERROR(__xludf.DUMMYFUNCTION("""COMPUTED_VALUE"""),"Arif Nugroho Rachman")</f>
        <v>Arif Nugroho Rachman</v>
      </c>
      <c r="K127" s="6"/>
      <c r="L127" s="6"/>
      <c r="M127" s="6"/>
      <c r="N127" s="6"/>
      <c r="O127" s="6"/>
      <c r="P127" s="10" t="str">
        <f>IFERROR(__xludf.DUMMYFUNCTION("""COMPUTED_VALUE"""),"Gede Ayu Sakura,Arif Nugroho Rachman,,")</f>
        <v>Gede Ayu Sakura,Arif Nugroho Rachman,,</v>
      </c>
      <c r="Q127" s="11" t="str">
        <f>IFERROR(__xludf.DUMMYFUNCTION("""COMPUTED_VALUE"""),"https://e-journal.unipma.ac.id/index.php/inventory/article/view/8614")</f>
        <v>https://e-journal.unipma.ac.id/index.php/inventory/article/view/8614</v>
      </c>
      <c r="R127" s="6"/>
    </row>
    <row r="128">
      <c r="A128" s="5">
        <f>IFERROR(__xludf.DUMMYFUNCTION("""COMPUTED_VALUE"""),127.0)</f>
        <v>127</v>
      </c>
      <c r="B128" s="6" t="str">
        <f>IFERROR(__xludf.DUMMYFUNCTION("""COMPUTED_VALUE"""),"ANALISIS DETERMINAN FINANCIAL DISTRESS PERUSAHAAN DELISTING DI BEI")</f>
        <v>ANALISIS DETERMINAN FINANCIAL DISTRESS PERUSAHAAN DELISTING DI BEI</v>
      </c>
      <c r="C128" s="7">
        <f>IFERROR(__xludf.DUMMYFUNCTION("""COMPUTED_VALUE"""),2021.0)</f>
        <v>2021</v>
      </c>
      <c r="D128" s="8" t="str">
        <f>IFERROR(__xludf.DUMMYFUNCTION("""COMPUTED_VALUE"""),"2021/2022")</f>
        <v>2021/2022</v>
      </c>
      <c r="E128" s="9">
        <f>IFERROR(__xludf.DUMMYFUNCTION("""COMPUTED_VALUE"""),44559.0)</f>
        <v>44559</v>
      </c>
      <c r="F128" s="5" t="str">
        <f>IFERROR(__xludf.DUMMYFUNCTION("""COMPUTED_VALUE"""),"Ganjil")</f>
        <v>Ganjil</v>
      </c>
      <c r="G128" s="5" t="str">
        <f>IFERROR(__xludf.DUMMYFUNCTION("""COMPUTED_VALUE"""),"Akuntansi")</f>
        <v>Akuntansi</v>
      </c>
      <c r="H128" s="10" t="str">
        <f>IFERROR(__xludf.DUMMYFUNCTION("""COMPUTED_VALUE"""),"Mahasiswa")</f>
        <v>Mahasiswa</v>
      </c>
      <c r="I128" s="6" t="str">
        <f>IFERROR(__xludf.DUMMYFUNCTION("""COMPUTED_VALUE"""),"Dwi Novita Putri")</f>
        <v>Dwi Novita Putri</v>
      </c>
      <c r="J128" s="6" t="str">
        <f>IFERROR(__xludf.DUMMYFUNCTION("""COMPUTED_VALUE"""),"Arif Nugroho Rachman")</f>
        <v>Arif Nugroho Rachman</v>
      </c>
      <c r="K128" s="6"/>
      <c r="L128" s="6"/>
      <c r="M128" s="6"/>
      <c r="N128" s="6"/>
      <c r="O128" s="6"/>
      <c r="P128" s="10" t="str">
        <f>IFERROR(__xludf.DUMMYFUNCTION("""COMPUTED_VALUE"""),"Dwi Novita Putri,Arif Nugroho Rachman,,")</f>
        <v>Dwi Novita Putri,Arif Nugroho Rachman,,</v>
      </c>
      <c r="Q128" s="6"/>
      <c r="R128" s="6"/>
    </row>
    <row r="129">
      <c r="A129" s="5">
        <f>IFERROR(__xludf.DUMMYFUNCTION("""COMPUTED_VALUE"""),128.0)</f>
        <v>128</v>
      </c>
      <c r="B129" s="6" t="str">
        <f>IFERROR(__xludf.DUMMYFUNCTION("""COMPUTED_VALUE"""),"ANALISIS DETERMINASI CASH FLOW TERHADAP NILAI KEMBALIAN SAHAM PERUSAHAAN MANUFAKTUR DI BEI")</f>
        <v>ANALISIS DETERMINASI CASH FLOW TERHADAP NILAI KEMBALIAN SAHAM PERUSAHAAN MANUFAKTUR DI BEI</v>
      </c>
      <c r="C129" s="7">
        <f>IFERROR(__xludf.DUMMYFUNCTION("""COMPUTED_VALUE"""),2021.0)</f>
        <v>2021</v>
      </c>
      <c r="D129" s="8" t="str">
        <f>IFERROR(__xludf.DUMMYFUNCTION("""COMPUTED_VALUE"""),"2021/2022")</f>
        <v>2021/2022</v>
      </c>
      <c r="E129" s="9">
        <f>IFERROR(__xludf.DUMMYFUNCTION("""COMPUTED_VALUE"""),44559.0)</f>
        <v>44559</v>
      </c>
      <c r="F129" s="5" t="str">
        <f>IFERROR(__xludf.DUMMYFUNCTION("""COMPUTED_VALUE"""),"Ganjil")</f>
        <v>Ganjil</v>
      </c>
      <c r="G129" s="5" t="str">
        <f>IFERROR(__xludf.DUMMYFUNCTION("""COMPUTED_VALUE"""),"Akuntansi")</f>
        <v>Akuntansi</v>
      </c>
      <c r="H129" s="10" t="str">
        <f>IFERROR(__xludf.DUMMYFUNCTION("""COMPUTED_VALUE"""),"Mahasiswa")</f>
        <v>Mahasiswa</v>
      </c>
      <c r="I129" s="6" t="str">
        <f>IFERROR(__xludf.DUMMYFUNCTION("""COMPUTED_VALUE"""),"Destiyani Putri Arfiah")</f>
        <v>Destiyani Putri Arfiah</v>
      </c>
      <c r="J129" s="6" t="str">
        <f>IFERROR(__xludf.DUMMYFUNCTION("""COMPUTED_VALUE"""),"Arif Nugroho Rachman")</f>
        <v>Arif Nugroho Rachman</v>
      </c>
      <c r="K129" s="6"/>
      <c r="L129" s="6"/>
      <c r="M129" s="6"/>
      <c r="N129" s="6"/>
      <c r="O129" s="6"/>
      <c r="P129" s="10" t="str">
        <f>IFERROR(__xludf.DUMMYFUNCTION("""COMPUTED_VALUE"""),"Destiyani Putri Arfiah,Arif Nugroho Rachman,,")</f>
        <v>Destiyani Putri Arfiah,Arif Nugroho Rachman,,</v>
      </c>
      <c r="Q129" s="6"/>
      <c r="R129" s="6"/>
    </row>
    <row r="130">
      <c r="A130" s="5">
        <f>IFERROR(__xludf.DUMMYFUNCTION("""COMPUTED_VALUE"""),129.0)</f>
        <v>129</v>
      </c>
      <c r="B130" s="6" t="str">
        <f>IFERROR(__xludf.DUMMYFUNCTION("""COMPUTED_VALUE"""),"Analisis Faktor – Faktor yang Mempengaruhi Penggunaan Informasi Akuntansi Berbasis Ecommerce Pada UMKM")</f>
        <v>Analisis Faktor – Faktor yang Mempengaruhi Penggunaan Informasi Akuntansi Berbasis Ecommerce Pada UMKM</v>
      </c>
      <c r="C130" s="7">
        <f>IFERROR(__xludf.DUMMYFUNCTION("""COMPUTED_VALUE"""),2021.0)</f>
        <v>2021</v>
      </c>
      <c r="D130" s="8" t="str">
        <f>IFERROR(__xludf.DUMMYFUNCTION("""COMPUTED_VALUE"""),"2021/2022")</f>
        <v>2021/2022</v>
      </c>
      <c r="E130" s="9">
        <f>IFERROR(__xludf.DUMMYFUNCTION("""COMPUTED_VALUE"""),44559.0)</f>
        <v>44559</v>
      </c>
      <c r="F130" s="5" t="str">
        <f>IFERROR(__xludf.DUMMYFUNCTION("""COMPUTED_VALUE"""),"Ganjil")</f>
        <v>Ganjil</v>
      </c>
      <c r="G130" s="5" t="str">
        <f>IFERROR(__xludf.DUMMYFUNCTION("""COMPUTED_VALUE"""),"Akuntansi")</f>
        <v>Akuntansi</v>
      </c>
      <c r="H130" s="10" t="str">
        <f>IFERROR(__xludf.DUMMYFUNCTION("""COMPUTED_VALUE"""),"Mahasiswa")</f>
        <v>Mahasiswa</v>
      </c>
      <c r="I130" s="6" t="str">
        <f>IFERROR(__xludf.DUMMYFUNCTION("""COMPUTED_VALUE"""),"Annis Nur Jannah")</f>
        <v>Annis Nur Jannah</v>
      </c>
      <c r="J130" s="6" t="str">
        <f>IFERROR(__xludf.DUMMYFUNCTION("""COMPUTED_VALUE"""),"Eko Triyanto")</f>
        <v>Eko Triyanto</v>
      </c>
      <c r="K130" s="6"/>
      <c r="L130" s="6"/>
      <c r="M130" s="6"/>
      <c r="N130" s="6"/>
      <c r="O130" s="6"/>
      <c r="P130" s="10" t="str">
        <f>IFERROR(__xludf.DUMMYFUNCTION("""COMPUTED_VALUE"""),"Annis Nur Jannah,Eko Triyanto,,")</f>
        <v>Annis Nur Jannah,Eko Triyanto,,</v>
      </c>
      <c r="Q130" s="11" t="str">
        <f>IFERROR(__xludf.DUMMYFUNCTION("""COMPUTED_VALUE"""),"http://jurnal.unsil.ac.id/index.php/jak")</f>
        <v>http://jurnal.unsil.ac.id/index.php/jak</v>
      </c>
      <c r="R130" s="6"/>
    </row>
    <row r="131">
      <c r="A131" s="5">
        <f>IFERROR(__xludf.DUMMYFUNCTION("""COMPUTED_VALUE"""),130.0)</f>
        <v>130</v>
      </c>
      <c r="B131" s="6" t="str">
        <f>IFERROR(__xludf.DUMMYFUNCTION("""COMPUTED_VALUE"""),"Analisis Faktor Pengaruh Tingkat Kepatuhan Wajib Pajak Kendaraan Bermotor di Solo Raya")</f>
        <v>Analisis Faktor Pengaruh Tingkat Kepatuhan Wajib Pajak Kendaraan Bermotor di Solo Raya</v>
      </c>
      <c r="C131" s="7">
        <f>IFERROR(__xludf.DUMMYFUNCTION("""COMPUTED_VALUE"""),2021.0)</f>
        <v>2021</v>
      </c>
      <c r="D131" s="8" t="str">
        <f>IFERROR(__xludf.DUMMYFUNCTION("""COMPUTED_VALUE"""),"2021/2022")</f>
        <v>2021/2022</v>
      </c>
      <c r="E131" s="9">
        <f>IFERROR(__xludf.DUMMYFUNCTION("""COMPUTED_VALUE"""),44559.0)</f>
        <v>44559</v>
      </c>
      <c r="F131" s="5" t="str">
        <f>IFERROR(__xludf.DUMMYFUNCTION("""COMPUTED_VALUE"""),"Ganjil")</f>
        <v>Ganjil</v>
      </c>
      <c r="G131" s="5" t="str">
        <f>IFERROR(__xludf.DUMMYFUNCTION("""COMPUTED_VALUE"""),"Akuntansi")</f>
        <v>Akuntansi</v>
      </c>
      <c r="H131" s="10" t="str">
        <f>IFERROR(__xludf.DUMMYFUNCTION("""COMPUTED_VALUE"""),"Mahasiswa")</f>
        <v>Mahasiswa</v>
      </c>
      <c r="I131" s="6" t="str">
        <f>IFERROR(__xludf.DUMMYFUNCTION("""COMPUTED_VALUE"""),"Isti Setianingsih")</f>
        <v>Isti Setianingsih</v>
      </c>
      <c r="J131" s="6" t="str">
        <f>IFERROR(__xludf.DUMMYFUNCTION("""COMPUTED_VALUE"""),"Nur Kholis")</f>
        <v>Nur Kholis</v>
      </c>
      <c r="K131" s="6"/>
      <c r="L131" s="6"/>
      <c r="M131" s="6"/>
      <c r="N131" s="6"/>
      <c r="O131" s="6"/>
      <c r="P131" s="10" t="str">
        <f>IFERROR(__xludf.DUMMYFUNCTION("""COMPUTED_VALUE"""),"Isti Setianingsih,Nur Kholis,,")</f>
        <v>Isti Setianingsih,Nur Kholis,,</v>
      </c>
      <c r="Q131" s="11" t="str">
        <f>IFERROR(__xludf.DUMMYFUNCTION("""COMPUTED_VALUE"""),"https://jurnal.stie-aas.ac.id/index.php/jap")</f>
        <v>https://jurnal.stie-aas.ac.id/index.php/jap</v>
      </c>
      <c r="R131" s="6"/>
    </row>
    <row r="132">
      <c r="A132" s="5">
        <f>IFERROR(__xludf.DUMMYFUNCTION("""COMPUTED_VALUE"""),131.0)</f>
        <v>131</v>
      </c>
      <c r="B132" s="6" t="str">
        <f>IFERROR(__xludf.DUMMYFUNCTION("""COMPUTED_VALUE"""),"Analisis Faktor Yang Mempengaruhi Kinerja Keuangan Perbankan Tahun 2016 – 2019")</f>
        <v>Analisis Faktor Yang Mempengaruhi Kinerja Keuangan Perbankan Tahun 2016 – 2019</v>
      </c>
      <c r="C132" s="7">
        <f>IFERROR(__xludf.DUMMYFUNCTION("""COMPUTED_VALUE"""),2021.0)</f>
        <v>2021</v>
      </c>
      <c r="D132" s="8" t="str">
        <f>IFERROR(__xludf.DUMMYFUNCTION("""COMPUTED_VALUE"""),"2021/2022")</f>
        <v>2021/2022</v>
      </c>
      <c r="E132" s="9">
        <f>IFERROR(__xludf.DUMMYFUNCTION("""COMPUTED_VALUE"""),44559.0)</f>
        <v>44559</v>
      </c>
      <c r="F132" s="5" t="str">
        <f>IFERROR(__xludf.DUMMYFUNCTION("""COMPUTED_VALUE"""),"Ganjil")</f>
        <v>Ganjil</v>
      </c>
      <c r="G132" s="5" t="str">
        <f>IFERROR(__xludf.DUMMYFUNCTION("""COMPUTED_VALUE"""),"Akuntansi")</f>
        <v>Akuntansi</v>
      </c>
      <c r="H132" s="10" t="str">
        <f>IFERROR(__xludf.DUMMYFUNCTION("""COMPUTED_VALUE"""),"Mahasiswa")</f>
        <v>Mahasiswa</v>
      </c>
      <c r="I132" s="6" t="str">
        <f>IFERROR(__xludf.DUMMYFUNCTION("""COMPUTED_VALUE"""),"Hikrimah Muktisari")</f>
        <v>Hikrimah Muktisari</v>
      </c>
      <c r="J132" s="6" t="str">
        <f>IFERROR(__xludf.DUMMYFUNCTION("""COMPUTED_VALUE"""),"Arif Nugroho Rachman")</f>
        <v>Arif Nugroho Rachman</v>
      </c>
      <c r="K132" s="6"/>
      <c r="L132" s="6"/>
      <c r="M132" s="6"/>
      <c r="N132" s="6"/>
      <c r="O132" s="6"/>
      <c r="P132" s="10" t="str">
        <f>IFERROR(__xludf.DUMMYFUNCTION("""COMPUTED_VALUE"""),"Hikrimah Muktisari,Arif Nugroho Rachman,,")</f>
        <v>Hikrimah Muktisari,Arif Nugroho Rachman,,</v>
      </c>
      <c r="Q132" s="6"/>
      <c r="R132" s="6"/>
    </row>
    <row r="133">
      <c r="A133" s="5">
        <f>IFERROR(__xludf.DUMMYFUNCTION("""COMPUTED_VALUE"""),132.0)</f>
        <v>132</v>
      </c>
      <c r="B133" s="6" t="str">
        <f>IFERROR(__xludf.DUMMYFUNCTION("""COMPUTED_VALUE"""),"ANALISIS FAKTOR-FAKTOR YANG MEMPENGARUHI KEPATUHAN WAJIB PAJAK DALAM MEMBAYAR PAJAK BUMI DAN BANGUNAN KABUPATEN KARANGANYAR")</f>
        <v>ANALISIS FAKTOR-FAKTOR YANG MEMPENGARUHI KEPATUHAN WAJIB PAJAK DALAM MEMBAYAR PAJAK BUMI DAN BANGUNAN KABUPATEN KARANGANYAR</v>
      </c>
      <c r="C133" s="7">
        <f>IFERROR(__xludf.DUMMYFUNCTION("""COMPUTED_VALUE"""),2021.0)</f>
        <v>2021</v>
      </c>
      <c r="D133" s="8" t="str">
        <f>IFERROR(__xludf.DUMMYFUNCTION("""COMPUTED_VALUE"""),"2021/2022")</f>
        <v>2021/2022</v>
      </c>
      <c r="E133" s="9">
        <f>IFERROR(__xludf.DUMMYFUNCTION("""COMPUTED_VALUE"""),44559.0)</f>
        <v>44559</v>
      </c>
      <c r="F133" s="5" t="str">
        <f>IFERROR(__xludf.DUMMYFUNCTION("""COMPUTED_VALUE"""),"Ganjil")</f>
        <v>Ganjil</v>
      </c>
      <c r="G133" s="5" t="str">
        <f>IFERROR(__xludf.DUMMYFUNCTION("""COMPUTED_VALUE"""),"Akuntansi")</f>
        <v>Akuntansi</v>
      </c>
      <c r="H133" s="10" t="str">
        <f>IFERROR(__xludf.DUMMYFUNCTION("""COMPUTED_VALUE"""),"Mahasiswa")</f>
        <v>Mahasiswa</v>
      </c>
      <c r="I133" s="6" t="str">
        <f>IFERROR(__xludf.DUMMYFUNCTION("""COMPUTED_VALUE"""),"Windy Setiani")</f>
        <v>Windy Setiani</v>
      </c>
      <c r="J133" s="6" t="str">
        <f>IFERROR(__xludf.DUMMYFUNCTION("""COMPUTED_VALUE"""),"Nur Kholis")</f>
        <v>Nur Kholis</v>
      </c>
      <c r="K133" s="6"/>
      <c r="L133" s="6"/>
      <c r="M133" s="6"/>
      <c r="N133" s="6"/>
      <c r="O133" s="6"/>
      <c r="P133" s="10" t="str">
        <f>IFERROR(__xludf.DUMMYFUNCTION("""COMPUTED_VALUE"""),"Windy Setiani,Nur Kholis,,")</f>
        <v>Windy Setiani,Nur Kholis,,</v>
      </c>
      <c r="Q133" s="11" t="str">
        <f>IFERROR(__xludf.DUMMYFUNCTION("""COMPUTED_VALUE"""),"http://jurnal.unsil.ac.id/index.php/jak/index")</f>
        <v>http://jurnal.unsil.ac.id/index.php/jak/index</v>
      </c>
      <c r="R133" s="6"/>
    </row>
    <row r="134">
      <c r="A134" s="5">
        <f>IFERROR(__xludf.DUMMYFUNCTION("""COMPUTED_VALUE"""),133.0)</f>
        <v>133</v>
      </c>
      <c r="B134" s="6" t="str">
        <f>IFERROR(__xludf.DUMMYFUNCTION("""COMPUTED_VALUE"""),"ANALISIS FAKTOR-FAKTOR YANG MEMPENGARUHI TINGKAT PENDAPATAN UMKM PENGRAJIN TAHU DI PURWOGONDO KARTASURA")</f>
        <v>ANALISIS FAKTOR-FAKTOR YANG MEMPENGARUHI TINGKAT PENDAPATAN UMKM PENGRAJIN TAHU DI PURWOGONDO KARTASURA</v>
      </c>
      <c r="C134" s="7">
        <f>IFERROR(__xludf.DUMMYFUNCTION("""COMPUTED_VALUE"""),2021.0)</f>
        <v>2021</v>
      </c>
      <c r="D134" s="8" t="str">
        <f>IFERROR(__xludf.DUMMYFUNCTION("""COMPUTED_VALUE"""),"2021/2022")</f>
        <v>2021/2022</v>
      </c>
      <c r="E134" s="9">
        <f>IFERROR(__xludf.DUMMYFUNCTION("""COMPUTED_VALUE"""),44559.0)</f>
        <v>44559</v>
      </c>
      <c r="F134" s="5" t="str">
        <f>IFERROR(__xludf.DUMMYFUNCTION("""COMPUTED_VALUE"""),"Ganjil")</f>
        <v>Ganjil</v>
      </c>
      <c r="G134" s="5" t="str">
        <f>IFERROR(__xludf.DUMMYFUNCTION("""COMPUTED_VALUE"""),"Akuntansi")</f>
        <v>Akuntansi</v>
      </c>
      <c r="H134" s="10" t="str">
        <f>IFERROR(__xludf.DUMMYFUNCTION("""COMPUTED_VALUE"""),"Mahasiswa")</f>
        <v>Mahasiswa</v>
      </c>
      <c r="I134" s="6" t="str">
        <f>IFERROR(__xludf.DUMMYFUNCTION("""COMPUTED_VALUE"""),"Nur Vita Dwi Andani")</f>
        <v>Nur Vita Dwi Andani</v>
      </c>
      <c r="J134" s="6" t="str">
        <f>IFERROR(__xludf.DUMMYFUNCTION("""COMPUTED_VALUE"""),"Ismunawan")</f>
        <v>Ismunawan</v>
      </c>
      <c r="K134" s="6"/>
      <c r="L134" s="6"/>
      <c r="M134" s="6"/>
      <c r="N134" s="6"/>
      <c r="O134" s="6"/>
      <c r="P134" s="10" t="str">
        <f>IFERROR(__xludf.DUMMYFUNCTION("""COMPUTED_VALUE"""),"Nur Vita Dwi Andani,Ismunawan,,")</f>
        <v>Nur Vita Dwi Andani,Ismunawan,,</v>
      </c>
      <c r="Q134" s="6"/>
      <c r="R134" s="6"/>
    </row>
    <row r="135">
      <c r="A135" s="5">
        <f>IFERROR(__xludf.DUMMYFUNCTION("""COMPUTED_VALUE"""),134.0)</f>
        <v>134</v>
      </c>
      <c r="B135" s="6" t="str">
        <f>IFERROR(__xludf.DUMMYFUNCTION("""COMPUTED_VALUE"""),"ANALISIS INDEKS SAHAM SYARIAH INDONESIA PRA PANDEMI COVID’19")</f>
        <v>ANALISIS INDEKS SAHAM SYARIAH INDONESIA PRA PANDEMI COVID’19</v>
      </c>
      <c r="C135" s="7">
        <f>IFERROR(__xludf.DUMMYFUNCTION("""COMPUTED_VALUE"""),2021.0)</f>
        <v>2021</v>
      </c>
      <c r="D135" s="8" t="str">
        <f>IFERROR(__xludf.DUMMYFUNCTION("""COMPUTED_VALUE"""),"2021/2022")</f>
        <v>2021/2022</v>
      </c>
      <c r="E135" s="9">
        <f>IFERROR(__xludf.DUMMYFUNCTION("""COMPUTED_VALUE"""),44559.0)</f>
        <v>44559</v>
      </c>
      <c r="F135" s="5" t="str">
        <f>IFERROR(__xludf.DUMMYFUNCTION("""COMPUTED_VALUE"""),"Ganjil")</f>
        <v>Ganjil</v>
      </c>
      <c r="G135" s="5" t="str">
        <f>IFERROR(__xludf.DUMMYFUNCTION("""COMPUTED_VALUE"""),"Akuntansi")</f>
        <v>Akuntansi</v>
      </c>
      <c r="H135" s="10" t="str">
        <f>IFERROR(__xludf.DUMMYFUNCTION("""COMPUTED_VALUE"""),"Mahasiswa")</f>
        <v>Mahasiswa</v>
      </c>
      <c r="I135" s="6" t="str">
        <f>IFERROR(__xludf.DUMMYFUNCTION("""COMPUTED_VALUE"""),"Nurokhmawati")</f>
        <v>Nurokhmawati</v>
      </c>
      <c r="J135" s="6" t="str">
        <f>IFERROR(__xludf.DUMMYFUNCTION("""COMPUTED_VALUE"""),"Pardi")</f>
        <v>Pardi</v>
      </c>
      <c r="K135" s="6"/>
      <c r="L135" s="6"/>
      <c r="M135" s="6"/>
      <c r="N135" s="6"/>
      <c r="O135" s="6"/>
      <c r="P135" s="10" t="str">
        <f>IFERROR(__xludf.DUMMYFUNCTION("""COMPUTED_VALUE"""),"Nurokhmawati,Pardi,,")</f>
        <v>Nurokhmawati,Pardi,,</v>
      </c>
      <c r="Q135" s="11" t="str">
        <f>IFERROR(__xludf.DUMMYFUNCTION("""COMPUTED_VALUE"""),"https://jurnal.stie-aas.ac.id/index.php/jei/article/view/3623")</f>
        <v>https://jurnal.stie-aas.ac.id/index.php/jei/article/view/3623</v>
      </c>
      <c r="R135" s="6"/>
    </row>
    <row r="136">
      <c r="A136" s="5">
        <f>IFERROR(__xludf.DUMMYFUNCTION("""COMPUTED_VALUE"""),135.0)</f>
        <v>135</v>
      </c>
      <c r="B136" s="6" t="str">
        <f>IFERROR(__xludf.DUMMYFUNCTION("""COMPUTED_VALUE"""),"Analisis Pengaruh Karakter, Pendapatan, Kondisi Ekonomi, dan Pengawasan Kredit Terhadap Pembiayaan Bermasalah")</f>
        <v>Analisis Pengaruh Karakter, Pendapatan, Kondisi Ekonomi, dan Pengawasan Kredit Terhadap Pembiayaan Bermasalah</v>
      </c>
      <c r="C136" s="7">
        <f>IFERROR(__xludf.DUMMYFUNCTION("""COMPUTED_VALUE"""),2021.0)</f>
        <v>2021</v>
      </c>
      <c r="D136" s="8" t="str">
        <f>IFERROR(__xludf.DUMMYFUNCTION("""COMPUTED_VALUE"""),"2021/2022")</f>
        <v>2021/2022</v>
      </c>
      <c r="E136" s="9">
        <f>IFERROR(__xludf.DUMMYFUNCTION("""COMPUTED_VALUE"""),44559.0)</f>
        <v>44559</v>
      </c>
      <c r="F136" s="5" t="str">
        <f>IFERROR(__xludf.DUMMYFUNCTION("""COMPUTED_VALUE"""),"Ganjil")</f>
        <v>Ganjil</v>
      </c>
      <c r="G136" s="5" t="str">
        <f>IFERROR(__xludf.DUMMYFUNCTION("""COMPUTED_VALUE"""),"Akuntansi")</f>
        <v>Akuntansi</v>
      </c>
      <c r="H136" s="10" t="str">
        <f>IFERROR(__xludf.DUMMYFUNCTION("""COMPUTED_VALUE"""),"Mahasiswa")</f>
        <v>Mahasiswa</v>
      </c>
      <c r="I136" s="6" t="str">
        <f>IFERROR(__xludf.DUMMYFUNCTION("""COMPUTED_VALUE"""),"Rostya Habiba")</f>
        <v>Rostya Habiba</v>
      </c>
      <c r="J136" s="6" t="str">
        <f>IFERROR(__xludf.DUMMYFUNCTION("""COMPUTED_VALUE"""),"Ismunawan")</f>
        <v>Ismunawan</v>
      </c>
      <c r="K136" s="6"/>
      <c r="L136" s="6"/>
      <c r="M136" s="6"/>
      <c r="N136" s="6"/>
      <c r="O136" s="6"/>
      <c r="P136" s="10" t="str">
        <f>IFERROR(__xludf.DUMMYFUNCTION("""COMPUTED_VALUE"""),"Rostya Habiba,Ismunawan,,")</f>
        <v>Rostya Habiba,Ismunawan,,</v>
      </c>
      <c r="Q136" s="6"/>
      <c r="R136" s="6"/>
    </row>
    <row r="137">
      <c r="A137" s="5">
        <f>IFERROR(__xludf.DUMMYFUNCTION("""COMPUTED_VALUE"""),136.0)</f>
        <v>136</v>
      </c>
      <c r="B137" s="6" t="str">
        <f>IFERROR(__xludf.DUMMYFUNCTION("""COMPUTED_VALUE"""),"ANALISIS PENGARUH KONTRIBUSI PAJAK HIBURAN, PAJAK RESTORAN, PAJAK PARKIR, PAJAK REKLAME TERHADAP PENDAPATAN ASLI DAERAH (Studi Kasus di Kabupaten Sukoharjo)")</f>
        <v>ANALISIS PENGARUH KONTRIBUSI PAJAK HIBURAN, PAJAK RESTORAN, PAJAK PARKIR, PAJAK REKLAME TERHADAP PENDAPATAN ASLI DAERAH (Studi Kasus di Kabupaten Sukoharjo)</v>
      </c>
      <c r="C137" s="7">
        <f>IFERROR(__xludf.DUMMYFUNCTION("""COMPUTED_VALUE"""),2021.0)</f>
        <v>2021</v>
      </c>
      <c r="D137" s="8" t="str">
        <f>IFERROR(__xludf.DUMMYFUNCTION("""COMPUTED_VALUE"""),"2021/2022")</f>
        <v>2021/2022</v>
      </c>
      <c r="E137" s="9">
        <f>IFERROR(__xludf.DUMMYFUNCTION("""COMPUTED_VALUE"""),44559.0)</f>
        <v>44559</v>
      </c>
      <c r="F137" s="5" t="str">
        <f>IFERROR(__xludf.DUMMYFUNCTION("""COMPUTED_VALUE"""),"Ganjil")</f>
        <v>Ganjil</v>
      </c>
      <c r="G137" s="5" t="str">
        <f>IFERROR(__xludf.DUMMYFUNCTION("""COMPUTED_VALUE"""),"Akuntansi")</f>
        <v>Akuntansi</v>
      </c>
      <c r="H137" s="10" t="str">
        <f>IFERROR(__xludf.DUMMYFUNCTION("""COMPUTED_VALUE"""),"Mahasiswa")</f>
        <v>Mahasiswa</v>
      </c>
      <c r="I137" s="6" t="str">
        <f>IFERROR(__xludf.DUMMYFUNCTION("""COMPUTED_VALUE"""),"Isti Rahayu")</f>
        <v>Isti Rahayu</v>
      </c>
      <c r="J137" s="6" t="str">
        <f>IFERROR(__xludf.DUMMYFUNCTION("""COMPUTED_VALUE"""),"Nur Kholis")</f>
        <v>Nur Kholis</v>
      </c>
      <c r="K137" s="6"/>
      <c r="L137" s="6"/>
      <c r="M137" s="6"/>
      <c r="N137" s="6"/>
      <c r="O137" s="6"/>
      <c r="P137" s="10" t="str">
        <f>IFERROR(__xludf.DUMMYFUNCTION("""COMPUTED_VALUE"""),"Isti Rahayu,Nur Kholis,,")</f>
        <v>Isti Rahayu,Nur Kholis,,</v>
      </c>
      <c r="Q137" s="11" t="str">
        <f>IFERROR(__xludf.DUMMYFUNCTION("""COMPUTED_VALUE"""),"http://jurnal.unsil.ac.id/index.php/jak")</f>
        <v>http://jurnal.unsil.ac.id/index.php/jak</v>
      </c>
      <c r="R137" s="6"/>
    </row>
    <row r="138">
      <c r="A138" s="5">
        <f>IFERROR(__xludf.DUMMYFUNCTION("""COMPUTED_VALUE"""),137.0)</f>
        <v>137</v>
      </c>
      <c r="B138" s="6" t="str">
        <f>IFERROR(__xludf.DUMMYFUNCTION("""COMPUTED_VALUE"""),"ANALISIS PENGARUH KURS RUPIAH, SUKU BUNGA BANK INDONESIA, INFLASI DAN KEBIJAKAN DIVIDEN TERHADAP INDEKS HARGA SAHAM PERUSAHAAN LQ45 DI BURSA EFEK INDONESIA")</f>
        <v>ANALISIS PENGARUH KURS RUPIAH, SUKU BUNGA BANK INDONESIA, INFLASI DAN KEBIJAKAN DIVIDEN TERHADAP INDEKS HARGA SAHAM PERUSAHAAN LQ45 DI BURSA EFEK INDONESIA</v>
      </c>
      <c r="C138" s="7">
        <f>IFERROR(__xludf.DUMMYFUNCTION("""COMPUTED_VALUE"""),2021.0)</f>
        <v>2021</v>
      </c>
      <c r="D138" s="8" t="str">
        <f>IFERROR(__xludf.DUMMYFUNCTION("""COMPUTED_VALUE"""),"2021/2022")</f>
        <v>2021/2022</v>
      </c>
      <c r="E138" s="9">
        <f>IFERROR(__xludf.DUMMYFUNCTION("""COMPUTED_VALUE"""),44559.0)</f>
        <v>44559</v>
      </c>
      <c r="F138" s="5" t="str">
        <f>IFERROR(__xludf.DUMMYFUNCTION("""COMPUTED_VALUE"""),"Ganjil")</f>
        <v>Ganjil</v>
      </c>
      <c r="G138" s="5" t="str">
        <f>IFERROR(__xludf.DUMMYFUNCTION("""COMPUTED_VALUE"""),"Akuntansi")</f>
        <v>Akuntansi</v>
      </c>
      <c r="H138" s="10" t="str">
        <f>IFERROR(__xludf.DUMMYFUNCTION("""COMPUTED_VALUE"""),"Mahasiswa")</f>
        <v>Mahasiswa</v>
      </c>
      <c r="I138" s="6" t="str">
        <f>IFERROR(__xludf.DUMMYFUNCTION("""COMPUTED_VALUE"""),"Dyiyah Fitri Vidiastuti")</f>
        <v>Dyiyah Fitri Vidiastuti</v>
      </c>
      <c r="J138" s="6" t="str">
        <f>IFERROR(__xludf.DUMMYFUNCTION("""COMPUTED_VALUE"""),"Ismunawan")</f>
        <v>Ismunawan</v>
      </c>
      <c r="K138" s="6"/>
      <c r="L138" s="6"/>
      <c r="M138" s="6"/>
      <c r="N138" s="6"/>
      <c r="O138" s="6"/>
      <c r="P138" s="10" t="str">
        <f>IFERROR(__xludf.DUMMYFUNCTION("""COMPUTED_VALUE"""),"Dyiyah Fitri Vidiastuti,Ismunawan,,")</f>
        <v>Dyiyah Fitri Vidiastuti,Ismunawan,,</v>
      </c>
      <c r="Q138" s="6"/>
      <c r="R138" s="6"/>
    </row>
    <row r="139">
      <c r="A139" s="5">
        <f>IFERROR(__xludf.DUMMYFUNCTION("""COMPUTED_VALUE"""),138.0)</f>
        <v>138</v>
      </c>
      <c r="B139" s="6" t="str">
        <f>IFERROR(__xludf.DUMMYFUNCTION("""COMPUTED_VALUE"""),"ANALISIS PERBANDINGAN KINERJA KEUANGAN PERUSAHAAN FARMASI YANG TERDAFTAR DI BEI")</f>
        <v>ANALISIS PERBANDINGAN KINERJA KEUANGAN PERUSAHAAN FARMASI YANG TERDAFTAR DI BEI</v>
      </c>
      <c r="C139" s="7">
        <f>IFERROR(__xludf.DUMMYFUNCTION("""COMPUTED_VALUE"""),2021.0)</f>
        <v>2021</v>
      </c>
      <c r="D139" s="8" t="str">
        <f>IFERROR(__xludf.DUMMYFUNCTION("""COMPUTED_VALUE"""),"2021/2022")</f>
        <v>2021/2022</v>
      </c>
      <c r="E139" s="9">
        <f>IFERROR(__xludf.DUMMYFUNCTION("""COMPUTED_VALUE"""),44559.0)</f>
        <v>44559</v>
      </c>
      <c r="F139" s="5" t="str">
        <f>IFERROR(__xludf.DUMMYFUNCTION("""COMPUTED_VALUE"""),"Ganjil")</f>
        <v>Ganjil</v>
      </c>
      <c r="G139" s="5" t="str">
        <f>IFERROR(__xludf.DUMMYFUNCTION("""COMPUTED_VALUE"""),"Akuntansi")</f>
        <v>Akuntansi</v>
      </c>
      <c r="H139" s="10" t="str">
        <f>IFERROR(__xludf.DUMMYFUNCTION("""COMPUTED_VALUE"""),"Mahasiswa")</f>
        <v>Mahasiswa</v>
      </c>
      <c r="I139" s="6" t="str">
        <f>IFERROR(__xludf.DUMMYFUNCTION("""COMPUTED_VALUE"""),"Indah Yuli Astari")</f>
        <v>Indah Yuli Astari</v>
      </c>
      <c r="J139" s="6" t="str">
        <f>IFERROR(__xludf.DUMMYFUNCTION("""COMPUTED_VALUE"""),"Eko Triyanto")</f>
        <v>Eko Triyanto</v>
      </c>
      <c r="K139" s="6"/>
      <c r="L139" s="6"/>
      <c r="M139" s="6"/>
      <c r="N139" s="6"/>
      <c r="O139" s="6"/>
      <c r="P139" s="10" t="str">
        <f>IFERROR(__xludf.DUMMYFUNCTION("""COMPUTED_VALUE"""),"Indah Yuli Astari,Eko Triyanto,,")</f>
        <v>Indah Yuli Astari,Eko Triyanto,,</v>
      </c>
      <c r="Q139" s="6"/>
      <c r="R139" s="6"/>
    </row>
    <row r="140">
      <c r="A140" s="5">
        <f>IFERROR(__xludf.DUMMYFUNCTION("""COMPUTED_VALUE"""),139.0)</f>
        <v>139</v>
      </c>
      <c r="B140" s="6" t="str">
        <f>IFERROR(__xludf.DUMMYFUNCTION("""COMPUTED_VALUE"""),"Analisis Rasio Likuiditas, Solvabilitas, Aktivitas dan Rasio Pasar Terhadap Harga Saham Sektor Farmasi")</f>
        <v>Analisis Rasio Likuiditas, Solvabilitas, Aktivitas dan Rasio Pasar Terhadap Harga Saham Sektor Farmasi</v>
      </c>
      <c r="C140" s="7">
        <f>IFERROR(__xludf.DUMMYFUNCTION("""COMPUTED_VALUE"""),2021.0)</f>
        <v>2021</v>
      </c>
      <c r="D140" s="8" t="str">
        <f>IFERROR(__xludf.DUMMYFUNCTION("""COMPUTED_VALUE"""),"2021/2022")</f>
        <v>2021/2022</v>
      </c>
      <c r="E140" s="9">
        <f>IFERROR(__xludf.DUMMYFUNCTION("""COMPUTED_VALUE"""),44559.0)</f>
        <v>44559</v>
      </c>
      <c r="F140" s="5" t="str">
        <f>IFERROR(__xludf.DUMMYFUNCTION("""COMPUTED_VALUE"""),"Ganjil")</f>
        <v>Ganjil</v>
      </c>
      <c r="G140" s="5" t="str">
        <f>IFERROR(__xludf.DUMMYFUNCTION("""COMPUTED_VALUE"""),"Akuntansi")</f>
        <v>Akuntansi</v>
      </c>
      <c r="H140" s="10" t="str">
        <f>IFERROR(__xludf.DUMMYFUNCTION("""COMPUTED_VALUE"""),"Mahasiswa")</f>
        <v>Mahasiswa</v>
      </c>
      <c r="I140" s="6" t="str">
        <f>IFERROR(__xludf.DUMMYFUNCTION("""COMPUTED_VALUE"""),"Nabila Aisyah")</f>
        <v>Nabila Aisyah</v>
      </c>
      <c r="J140" s="6" t="str">
        <f>IFERROR(__xludf.DUMMYFUNCTION("""COMPUTED_VALUE"""),"Pardi")</f>
        <v>Pardi</v>
      </c>
      <c r="K140" s="6"/>
      <c r="L140" s="6"/>
      <c r="M140" s="6"/>
      <c r="N140" s="6"/>
      <c r="O140" s="6"/>
      <c r="P140" s="10" t="str">
        <f>IFERROR(__xludf.DUMMYFUNCTION("""COMPUTED_VALUE"""),"Nabila Aisyah,Pardi,,")</f>
        <v>Nabila Aisyah,Pardi,,</v>
      </c>
      <c r="Q140" s="6"/>
      <c r="R140" s="6"/>
    </row>
    <row r="141">
      <c r="A141" s="5">
        <f>IFERROR(__xludf.DUMMYFUNCTION("""COMPUTED_VALUE"""),140.0)</f>
        <v>140</v>
      </c>
      <c r="B141" s="6" t="str">
        <f>IFERROR(__xludf.DUMMYFUNCTION("""COMPUTED_VALUE"""),"ANALISIS SISTEM INFORMASI AKUNTANSI PENJUALAN TUNAI PADA FLOITH CAFÉ")</f>
        <v>ANALISIS SISTEM INFORMASI AKUNTANSI PENJUALAN TUNAI PADA FLOITH CAFÉ</v>
      </c>
      <c r="C141" s="7">
        <f>IFERROR(__xludf.DUMMYFUNCTION("""COMPUTED_VALUE"""),2021.0)</f>
        <v>2021</v>
      </c>
      <c r="D141" s="8" t="str">
        <f>IFERROR(__xludf.DUMMYFUNCTION("""COMPUTED_VALUE"""),"2021/2022")</f>
        <v>2021/2022</v>
      </c>
      <c r="E141" s="9">
        <f>IFERROR(__xludf.DUMMYFUNCTION("""COMPUTED_VALUE"""),44559.0)</f>
        <v>44559</v>
      </c>
      <c r="F141" s="5" t="str">
        <f>IFERROR(__xludf.DUMMYFUNCTION("""COMPUTED_VALUE"""),"Ganjil")</f>
        <v>Ganjil</v>
      </c>
      <c r="G141" s="5" t="str">
        <f>IFERROR(__xludf.DUMMYFUNCTION("""COMPUTED_VALUE"""),"Akuntansi")</f>
        <v>Akuntansi</v>
      </c>
      <c r="H141" s="10" t="str">
        <f>IFERROR(__xludf.DUMMYFUNCTION("""COMPUTED_VALUE"""),"Mahasiswa")</f>
        <v>Mahasiswa</v>
      </c>
      <c r="I141" s="6" t="str">
        <f>IFERROR(__xludf.DUMMYFUNCTION("""COMPUTED_VALUE"""),"Siti Nur Chasanah")</f>
        <v>Siti Nur Chasanah</v>
      </c>
      <c r="J141" s="6" t="str">
        <f>IFERROR(__xludf.DUMMYFUNCTION("""COMPUTED_VALUE"""),"Ismunawan")</f>
        <v>Ismunawan</v>
      </c>
      <c r="K141" s="6"/>
      <c r="L141" s="6"/>
      <c r="M141" s="6"/>
      <c r="N141" s="6"/>
      <c r="O141" s="6"/>
      <c r="P141" s="10" t="str">
        <f>IFERROR(__xludf.DUMMYFUNCTION("""COMPUTED_VALUE"""),"Siti Nur Chasanah,Ismunawan,,")</f>
        <v>Siti Nur Chasanah,Ismunawan,,</v>
      </c>
      <c r="Q141" s="6"/>
      <c r="R141" s="6"/>
    </row>
    <row r="142">
      <c r="A142" s="5">
        <f>IFERROR(__xludf.DUMMYFUNCTION("""COMPUTED_VALUE"""),141.0)</f>
        <v>141</v>
      </c>
      <c r="B142" s="6" t="str">
        <f>IFERROR(__xludf.DUMMYFUNCTION("""COMPUTED_VALUE"""),"ANALISIS SISTEM PENGENDALIAN INTERN PENERIMAAN KAS ATAS PENJUALAN TUNAI TOKO PGJ KIDS BETENG TRADE CENTER SURAKARTA")</f>
        <v>ANALISIS SISTEM PENGENDALIAN INTERN PENERIMAAN KAS ATAS PENJUALAN TUNAI TOKO PGJ KIDS BETENG TRADE CENTER SURAKARTA</v>
      </c>
      <c r="C142" s="7">
        <f>IFERROR(__xludf.DUMMYFUNCTION("""COMPUTED_VALUE"""),2021.0)</f>
        <v>2021</v>
      </c>
      <c r="D142" s="8" t="str">
        <f>IFERROR(__xludf.DUMMYFUNCTION("""COMPUTED_VALUE"""),"2021/2022")</f>
        <v>2021/2022</v>
      </c>
      <c r="E142" s="9">
        <f>IFERROR(__xludf.DUMMYFUNCTION("""COMPUTED_VALUE"""),44559.0)</f>
        <v>44559</v>
      </c>
      <c r="F142" s="5" t="str">
        <f>IFERROR(__xludf.DUMMYFUNCTION("""COMPUTED_VALUE"""),"Ganjil")</f>
        <v>Ganjil</v>
      </c>
      <c r="G142" s="5" t="str">
        <f>IFERROR(__xludf.DUMMYFUNCTION("""COMPUTED_VALUE"""),"Akuntansi")</f>
        <v>Akuntansi</v>
      </c>
      <c r="H142" s="10" t="str">
        <f>IFERROR(__xludf.DUMMYFUNCTION("""COMPUTED_VALUE"""),"Mahasiswa")</f>
        <v>Mahasiswa</v>
      </c>
      <c r="I142" s="6" t="str">
        <f>IFERROR(__xludf.DUMMYFUNCTION("""COMPUTED_VALUE"""),"Nureki Septiana")</f>
        <v>Nureki Septiana</v>
      </c>
      <c r="J142" s="6" t="str">
        <f>IFERROR(__xludf.DUMMYFUNCTION("""COMPUTED_VALUE"""),"Pardi")</f>
        <v>Pardi</v>
      </c>
      <c r="K142" s="6"/>
      <c r="L142" s="6"/>
      <c r="M142" s="6"/>
      <c r="N142" s="6"/>
      <c r="O142" s="6"/>
      <c r="P142" s="10" t="str">
        <f>IFERROR(__xludf.DUMMYFUNCTION("""COMPUTED_VALUE"""),"Nureki Septiana,Pardi,,")</f>
        <v>Nureki Septiana,Pardi,,</v>
      </c>
      <c r="Q142" s="6"/>
      <c r="R142" s="6"/>
    </row>
    <row r="143">
      <c r="A143" s="5">
        <f>IFERROR(__xludf.DUMMYFUNCTION("""COMPUTED_VALUE"""),142.0)</f>
        <v>142</v>
      </c>
      <c r="B143" s="6" t="str">
        <f>IFERROR(__xludf.DUMMYFUNCTION("""COMPUTED_VALUE"""),"Analisis sistem pengendalian internal pada sistem penggajian karyawan (Studi kasus CV Surya Jaya Abadi)")</f>
        <v>Analisis sistem pengendalian internal pada sistem penggajian karyawan (Studi kasus CV Surya Jaya Abadi)</v>
      </c>
      <c r="C143" s="7">
        <f>IFERROR(__xludf.DUMMYFUNCTION("""COMPUTED_VALUE"""),2021.0)</f>
        <v>2021</v>
      </c>
      <c r="D143" s="8" t="str">
        <f>IFERROR(__xludf.DUMMYFUNCTION("""COMPUTED_VALUE"""),"2021/2022")</f>
        <v>2021/2022</v>
      </c>
      <c r="E143" s="9">
        <f>IFERROR(__xludf.DUMMYFUNCTION("""COMPUTED_VALUE"""),44559.0)</f>
        <v>44559</v>
      </c>
      <c r="F143" s="5" t="str">
        <f>IFERROR(__xludf.DUMMYFUNCTION("""COMPUTED_VALUE"""),"Ganjil")</f>
        <v>Ganjil</v>
      </c>
      <c r="G143" s="5" t="str">
        <f>IFERROR(__xludf.DUMMYFUNCTION("""COMPUTED_VALUE"""),"Akuntansi")</f>
        <v>Akuntansi</v>
      </c>
      <c r="H143" s="10" t="str">
        <f>IFERROR(__xludf.DUMMYFUNCTION("""COMPUTED_VALUE"""),"Mahasiswa")</f>
        <v>Mahasiswa</v>
      </c>
      <c r="I143" s="6" t="str">
        <f>IFERROR(__xludf.DUMMYFUNCTION("""COMPUTED_VALUE"""),"Tri Haryadi")</f>
        <v>Tri Haryadi</v>
      </c>
      <c r="J143" s="6" t="str">
        <f>IFERROR(__xludf.DUMMYFUNCTION("""COMPUTED_VALUE"""),"Eko Triyanto")</f>
        <v>Eko Triyanto</v>
      </c>
      <c r="K143" s="6"/>
      <c r="L143" s="6"/>
      <c r="M143" s="6"/>
      <c r="N143" s="6"/>
      <c r="O143" s="6"/>
      <c r="P143" s="10" t="str">
        <f>IFERROR(__xludf.DUMMYFUNCTION("""COMPUTED_VALUE"""),"Tri Haryadi,Eko Triyanto,,")</f>
        <v>Tri Haryadi,Eko Triyanto,,</v>
      </c>
      <c r="Q143" s="11" t="str">
        <f>IFERROR(__xludf.DUMMYFUNCTION("""COMPUTED_VALUE"""),"https://online-journal.unja.ac.id/paradigma/article/view/12079")</f>
        <v>https://online-journal.unja.ac.id/paradigma/article/view/12079</v>
      </c>
      <c r="R143" s="6"/>
    </row>
    <row r="144">
      <c r="A144" s="5">
        <f>IFERROR(__xludf.DUMMYFUNCTION("""COMPUTED_VALUE"""),143.0)</f>
        <v>143</v>
      </c>
      <c r="B144" s="6" t="str">
        <f>IFERROR(__xludf.DUMMYFUNCTION("""COMPUTED_VALUE"""),"ANALISISFAKTOR FUNDAMENTAL DAN VARIABEL MAKRO HARGA SAHAM LQ45 SEKTOR PERBANKAN DI BURSA EFEK INDONESIA TAHUN 2019-2020")</f>
        <v>ANALISISFAKTOR FUNDAMENTAL DAN VARIABEL MAKRO HARGA SAHAM LQ45 SEKTOR PERBANKAN DI BURSA EFEK INDONESIA TAHUN 2019-2020</v>
      </c>
      <c r="C144" s="7">
        <f>IFERROR(__xludf.DUMMYFUNCTION("""COMPUTED_VALUE"""),2021.0)</f>
        <v>2021</v>
      </c>
      <c r="D144" s="8" t="str">
        <f>IFERROR(__xludf.DUMMYFUNCTION("""COMPUTED_VALUE"""),"2021/2022")</f>
        <v>2021/2022</v>
      </c>
      <c r="E144" s="9">
        <f>IFERROR(__xludf.DUMMYFUNCTION("""COMPUTED_VALUE"""),44559.0)</f>
        <v>44559</v>
      </c>
      <c r="F144" s="5" t="str">
        <f>IFERROR(__xludf.DUMMYFUNCTION("""COMPUTED_VALUE"""),"Ganjil")</f>
        <v>Ganjil</v>
      </c>
      <c r="G144" s="5" t="str">
        <f>IFERROR(__xludf.DUMMYFUNCTION("""COMPUTED_VALUE"""),"Akuntansi")</f>
        <v>Akuntansi</v>
      </c>
      <c r="H144" s="10" t="str">
        <f>IFERROR(__xludf.DUMMYFUNCTION("""COMPUTED_VALUE"""),"Mahasiswa")</f>
        <v>Mahasiswa</v>
      </c>
      <c r="I144" s="6" t="str">
        <f>IFERROR(__xludf.DUMMYFUNCTION("""COMPUTED_VALUE"""),"Annisa Fitriya Al Farizi")</f>
        <v>Annisa Fitriya Al Farizi</v>
      </c>
      <c r="J144" s="6" t="str">
        <f>IFERROR(__xludf.DUMMYFUNCTION("""COMPUTED_VALUE"""),"Pardi")</f>
        <v>Pardi</v>
      </c>
      <c r="K144" s="6"/>
      <c r="L144" s="6"/>
      <c r="M144" s="6"/>
      <c r="N144" s="6"/>
      <c r="O144" s="6"/>
      <c r="P144" s="10" t="str">
        <f>IFERROR(__xludf.DUMMYFUNCTION("""COMPUTED_VALUE"""),"Annisa Fitriya Al Farizi,Pardi,,")</f>
        <v>Annisa Fitriya Al Farizi,Pardi,,</v>
      </c>
      <c r="Q144" s="11" t="str">
        <f>IFERROR(__xludf.DUMMYFUNCTION("""COMPUTED_VALUE"""),"https://jurnal.stiesurakarta.ac.id/index.php/jebdeker/article/view/58")</f>
        <v>https://jurnal.stiesurakarta.ac.id/index.php/jebdeker/article/view/58</v>
      </c>
      <c r="R144" s="6"/>
    </row>
    <row r="145">
      <c r="A145" s="5">
        <f>IFERROR(__xludf.DUMMYFUNCTION("""COMPUTED_VALUE"""),144.0)</f>
        <v>144</v>
      </c>
      <c r="B145" s="6" t="str">
        <f>IFERROR(__xludf.DUMMYFUNCTION("""COMPUTED_VALUE"""),"Determinants Of Agricultural Corporate CSR Disclosure On BEI")</f>
        <v>Determinants Of Agricultural Corporate CSR Disclosure On BEI</v>
      </c>
      <c r="C145" s="7">
        <f>IFERROR(__xludf.DUMMYFUNCTION("""COMPUTED_VALUE"""),2021.0)</f>
        <v>2021</v>
      </c>
      <c r="D145" s="8" t="str">
        <f>IFERROR(__xludf.DUMMYFUNCTION("""COMPUTED_VALUE"""),"2021/2022")</f>
        <v>2021/2022</v>
      </c>
      <c r="E145" s="9">
        <f>IFERROR(__xludf.DUMMYFUNCTION("""COMPUTED_VALUE"""),44559.0)</f>
        <v>44559</v>
      </c>
      <c r="F145" s="5" t="str">
        <f>IFERROR(__xludf.DUMMYFUNCTION("""COMPUTED_VALUE"""),"Ganjil")</f>
        <v>Ganjil</v>
      </c>
      <c r="G145" s="5" t="str">
        <f>IFERROR(__xludf.DUMMYFUNCTION("""COMPUTED_VALUE"""),"Akuntansi")</f>
        <v>Akuntansi</v>
      </c>
      <c r="H145" s="10" t="str">
        <f>IFERROR(__xludf.DUMMYFUNCTION("""COMPUTED_VALUE"""),"Mahasiswa")</f>
        <v>Mahasiswa</v>
      </c>
      <c r="I145" s="6" t="str">
        <f>IFERROR(__xludf.DUMMYFUNCTION("""COMPUTED_VALUE"""),"Veronika Enggarsih")</f>
        <v>Veronika Enggarsih</v>
      </c>
      <c r="J145" s="6" t="str">
        <f>IFERROR(__xludf.DUMMYFUNCTION("""COMPUTED_VALUE"""),"Arif Nugroho Rachman")</f>
        <v>Arif Nugroho Rachman</v>
      </c>
      <c r="K145" s="6"/>
      <c r="L145" s="6"/>
      <c r="M145" s="6"/>
      <c r="N145" s="6"/>
      <c r="O145" s="6"/>
      <c r="P145" s="10" t="str">
        <f>IFERROR(__xludf.DUMMYFUNCTION("""COMPUTED_VALUE"""),"Veronika Enggarsih,Arif Nugroho Rachman,,")</f>
        <v>Veronika Enggarsih,Arif Nugroho Rachman,,</v>
      </c>
      <c r="Q145" s="11" t="str">
        <f>IFERROR(__xludf.DUMMYFUNCTION("""COMPUTED_VALUE"""),"https://e-journal.unair.ac.id/BAKI/article/view/25504")</f>
        <v>https://e-journal.unair.ac.id/BAKI/article/view/25504</v>
      </c>
      <c r="R145" s="6"/>
    </row>
    <row r="146">
      <c r="A146" s="5">
        <f>IFERROR(__xludf.DUMMYFUNCTION("""COMPUTED_VALUE"""),145.0)</f>
        <v>145</v>
      </c>
      <c r="B146" s="6" t="str">
        <f>IFERROR(__xludf.DUMMYFUNCTION("""COMPUTED_VALUE"""),"DETERMINASI HARGA SAHAM PERUSAHAAN TRANSPORTASI DI BEI")</f>
        <v>DETERMINASI HARGA SAHAM PERUSAHAAN TRANSPORTASI DI BEI</v>
      </c>
      <c r="C146" s="7">
        <f>IFERROR(__xludf.DUMMYFUNCTION("""COMPUTED_VALUE"""),2021.0)</f>
        <v>2021</v>
      </c>
      <c r="D146" s="8" t="str">
        <f>IFERROR(__xludf.DUMMYFUNCTION("""COMPUTED_VALUE"""),"2021/2022")</f>
        <v>2021/2022</v>
      </c>
      <c r="E146" s="9">
        <f>IFERROR(__xludf.DUMMYFUNCTION("""COMPUTED_VALUE"""),44559.0)</f>
        <v>44559</v>
      </c>
      <c r="F146" s="5" t="str">
        <f>IFERROR(__xludf.DUMMYFUNCTION("""COMPUTED_VALUE"""),"Ganjil")</f>
        <v>Ganjil</v>
      </c>
      <c r="G146" s="5" t="str">
        <f>IFERROR(__xludf.DUMMYFUNCTION("""COMPUTED_VALUE"""),"Akuntansi")</f>
        <v>Akuntansi</v>
      </c>
      <c r="H146" s="10" t="str">
        <f>IFERROR(__xludf.DUMMYFUNCTION("""COMPUTED_VALUE"""),"Mahasiswa")</f>
        <v>Mahasiswa</v>
      </c>
      <c r="I146" s="6" t="str">
        <f>IFERROR(__xludf.DUMMYFUNCTION("""COMPUTED_VALUE"""),"Alviony Charisa Putri")</f>
        <v>Alviony Charisa Putri</v>
      </c>
      <c r="J146" s="6" t="str">
        <f>IFERROR(__xludf.DUMMYFUNCTION("""COMPUTED_VALUE"""),"Arif Nugroho Rachman")</f>
        <v>Arif Nugroho Rachman</v>
      </c>
      <c r="K146" s="6"/>
      <c r="L146" s="6"/>
      <c r="M146" s="6"/>
      <c r="N146" s="6"/>
      <c r="O146" s="6"/>
      <c r="P146" s="10" t="str">
        <f>IFERROR(__xludf.DUMMYFUNCTION("""COMPUTED_VALUE"""),"Alviony Charisa Putri,Arif Nugroho Rachman,,")</f>
        <v>Alviony Charisa Putri,Arif Nugroho Rachman,,</v>
      </c>
      <c r="Q146" s="11" t="str">
        <f>IFERROR(__xludf.DUMMYFUNCTION("""COMPUTED_VALUE"""),"https://financial.ac.id/index.php/financial/article/view/211")</f>
        <v>https://financial.ac.id/index.php/financial/article/view/211</v>
      </c>
      <c r="R146" s="6"/>
    </row>
    <row r="147">
      <c r="A147" s="5">
        <f>IFERROR(__xludf.DUMMYFUNCTION("""COMPUTED_VALUE"""),146.0)</f>
        <v>146</v>
      </c>
      <c r="B147" s="6" t="str">
        <f>IFERROR(__xludf.DUMMYFUNCTION("""COMPUTED_VALUE"""),"FAKTOR – FAKTOR YANG MEMPENGARUHI PENDAPATAN UMKM SEKTOR INDUSTRI DI KECAMATAN SUKOHARJO")</f>
        <v>FAKTOR – FAKTOR YANG MEMPENGARUHI PENDAPATAN UMKM SEKTOR INDUSTRI DI KECAMATAN SUKOHARJO</v>
      </c>
      <c r="C147" s="7">
        <f>IFERROR(__xludf.DUMMYFUNCTION("""COMPUTED_VALUE"""),2021.0)</f>
        <v>2021</v>
      </c>
      <c r="D147" s="8" t="str">
        <f>IFERROR(__xludf.DUMMYFUNCTION("""COMPUTED_VALUE"""),"2021/2022")</f>
        <v>2021/2022</v>
      </c>
      <c r="E147" s="9">
        <f>IFERROR(__xludf.DUMMYFUNCTION("""COMPUTED_VALUE"""),44559.0)</f>
        <v>44559</v>
      </c>
      <c r="F147" s="5" t="str">
        <f>IFERROR(__xludf.DUMMYFUNCTION("""COMPUTED_VALUE"""),"Ganjil")</f>
        <v>Ganjil</v>
      </c>
      <c r="G147" s="5" t="str">
        <f>IFERROR(__xludf.DUMMYFUNCTION("""COMPUTED_VALUE"""),"Akuntansi")</f>
        <v>Akuntansi</v>
      </c>
      <c r="H147" s="10" t="str">
        <f>IFERROR(__xludf.DUMMYFUNCTION("""COMPUTED_VALUE"""),"Mahasiswa")</f>
        <v>Mahasiswa</v>
      </c>
      <c r="I147" s="6" t="str">
        <f>IFERROR(__xludf.DUMMYFUNCTION("""COMPUTED_VALUE"""),"Febria Anggraini")</f>
        <v>Febria Anggraini</v>
      </c>
      <c r="J147" s="6" t="str">
        <f>IFERROR(__xludf.DUMMYFUNCTION("""COMPUTED_VALUE"""),"Arif Nugroho Rachman")</f>
        <v>Arif Nugroho Rachman</v>
      </c>
      <c r="K147" s="6"/>
      <c r="L147" s="6"/>
      <c r="M147" s="6"/>
      <c r="N147" s="6"/>
      <c r="O147" s="6"/>
      <c r="P147" s="10" t="str">
        <f>IFERROR(__xludf.DUMMYFUNCTION("""COMPUTED_VALUE"""),"Febria Anggraini,Arif Nugroho Rachman,,")</f>
        <v>Febria Anggraini,Arif Nugroho Rachman,,</v>
      </c>
      <c r="Q147" s="6"/>
      <c r="R147" s="6"/>
    </row>
    <row r="148">
      <c r="A148" s="5">
        <f>IFERROR(__xludf.DUMMYFUNCTION("""COMPUTED_VALUE"""),147.0)</f>
        <v>147</v>
      </c>
      <c r="B148" s="6" t="str">
        <f>IFERROR(__xludf.DUMMYFUNCTION("""COMPUTED_VALUE"""),"Faktor Yang Mempengaruhi Pengendalian Internal Kas Di SMA Al-Azhar Syifa Budi Solo")</f>
        <v>Faktor Yang Mempengaruhi Pengendalian Internal Kas Di SMA Al-Azhar Syifa Budi Solo</v>
      </c>
      <c r="C148" s="7">
        <f>IFERROR(__xludf.DUMMYFUNCTION("""COMPUTED_VALUE"""),2021.0)</f>
        <v>2021</v>
      </c>
      <c r="D148" s="8" t="str">
        <f>IFERROR(__xludf.DUMMYFUNCTION("""COMPUTED_VALUE"""),"2021/2022")</f>
        <v>2021/2022</v>
      </c>
      <c r="E148" s="9">
        <f>IFERROR(__xludf.DUMMYFUNCTION("""COMPUTED_VALUE"""),44559.0)</f>
        <v>44559</v>
      </c>
      <c r="F148" s="5" t="str">
        <f>IFERROR(__xludf.DUMMYFUNCTION("""COMPUTED_VALUE"""),"Ganjil")</f>
        <v>Ganjil</v>
      </c>
      <c r="G148" s="5" t="str">
        <f>IFERROR(__xludf.DUMMYFUNCTION("""COMPUTED_VALUE"""),"Akuntansi")</f>
        <v>Akuntansi</v>
      </c>
      <c r="H148" s="10" t="str">
        <f>IFERROR(__xludf.DUMMYFUNCTION("""COMPUTED_VALUE"""),"Mahasiswa")</f>
        <v>Mahasiswa</v>
      </c>
      <c r="I148" s="6" t="str">
        <f>IFERROR(__xludf.DUMMYFUNCTION("""COMPUTED_VALUE"""),"Susi Wardani")</f>
        <v>Susi Wardani</v>
      </c>
      <c r="J148" s="6" t="str">
        <f>IFERROR(__xludf.DUMMYFUNCTION("""COMPUTED_VALUE"""),"Arif Nugroho Rachman")</f>
        <v>Arif Nugroho Rachman</v>
      </c>
      <c r="K148" s="6"/>
      <c r="L148" s="6"/>
      <c r="M148" s="6"/>
      <c r="N148" s="6"/>
      <c r="O148" s="6"/>
      <c r="P148" s="10" t="str">
        <f>IFERROR(__xludf.DUMMYFUNCTION("""COMPUTED_VALUE"""),"Susi Wardani,Arif Nugroho Rachman,,")</f>
        <v>Susi Wardani,Arif Nugroho Rachman,,</v>
      </c>
      <c r="Q148" s="6"/>
      <c r="R148" s="6"/>
    </row>
    <row r="149">
      <c r="A149" s="5">
        <f>IFERROR(__xludf.DUMMYFUNCTION("""COMPUTED_VALUE"""),148.0)</f>
        <v>148</v>
      </c>
      <c r="B149" s="6" t="str">
        <f>IFERROR(__xludf.DUMMYFUNCTION("""COMPUTED_VALUE"""),"FAKTOR-FAKTOR YANG MEMPENGARUHI AKUNTABILITAS PENGELOLAAN ALOKASI DANA DESA DI KECAMATAN TAMANSARI KABUPATEN BOYOLALI")</f>
        <v>FAKTOR-FAKTOR YANG MEMPENGARUHI AKUNTABILITAS PENGELOLAAN ALOKASI DANA DESA DI KECAMATAN TAMANSARI KABUPATEN BOYOLALI</v>
      </c>
      <c r="C149" s="7">
        <f>IFERROR(__xludf.DUMMYFUNCTION("""COMPUTED_VALUE"""),2021.0)</f>
        <v>2021</v>
      </c>
      <c r="D149" s="8" t="str">
        <f>IFERROR(__xludf.DUMMYFUNCTION("""COMPUTED_VALUE"""),"2021/2022")</f>
        <v>2021/2022</v>
      </c>
      <c r="E149" s="9">
        <f>IFERROR(__xludf.DUMMYFUNCTION("""COMPUTED_VALUE"""),44559.0)</f>
        <v>44559</v>
      </c>
      <c r="F149" s="5" t="str">
        <f>IFERROR(__xludf.DUMMYFUNCTION("""COMPUTED_VALUE"""),"Ganjil")</f>
        <v>Ganjil</v>
      </c>
      <c r="G149" s="5" t="str">
        <f>IFERROR(__xludf.DUMMYFUNCTION("""COMPUTED_VALUE"""),"Akuntansi")</f>
        <v>Akuntansi</v>
      </c>
      <c r="H149" s="10" t="str">
        <f>IFERROR(__xludf.DUMMYFUNCTION("""COMPUTED_VALUE"""),"Mahasiswa")</f>
        <v>Mahasiswa</v>
      </c>
      <c r="I149" s="6" t="str">
        <f>IFERROR(__xludf.DUMMYFUNCTION("""COMPUTED_VALUE"""),"Yamti")</f>
        <v>Yamti</v>
      </c>
      <c r="J149" s="6" t="str">
        <f>IFERROR(__xludf.DUMMYFUNCTION("""COMPUTED_VALUE"""),"Ismunawan")</f>
        <v>Ismunawan</v>
      </c>
      <c r="K149" s="6"/>
      <c r="L149" s="6"/>
      <c r="M149" s="6"/>
      <c r="N149" s="6"/>
      <c r="O149" s="6"/>
      <c r="P149" s="10" t="str">
        <f>IFERROR(__xludf.DUMMYFUNCTION("""COMPUTED_VALUE"""),"Yamti,Ismunawan,,")</f>
        <v>Yamti,Ismunawan,,</v>
      </c>
      <c r="Q149" s="6"/>
      <c r="R149" s="6"/>
    </row>
    <row r="150">
      <c r="A150" s="5">
        <f>IFERROR(__xludf.DUMMYFUNCTION("""COMPUTED_VALUE"""),149.0)</f>
        <v>149</v>
      </c>
      <c r="B150" s="6" t="str">
        <f>IFERROR(__xludf.DUMMYFUNCTION("""COMPUTED_VALUE"""),"FAKTOR-FAKTOR YANG MEMPENGARUHI IMPLEMENTASI SAK ETAP PADA UMKM DI KEC. KARANGTEGAH KAB.WONOGIRI")</f>
        <v>FAKTOR-FAKTOR YANG MEMPENGARUHI IMPLEMENTASI SAK ETAP PADA UMKM DI KEC. KARANGTEGAH KAB.WONOGIRI</v>
      </c>
      <c r="C150" s="7">
        <f>IFERROR(__xludf.DUMMYFUNCTION("""COMPUTED_VALUE"""),2021.0)</f>
        <v>2021</v>
      </c>
      <c r="D150" s="8" t="str">
        <f>IFERROR(__xludf.DUMMYFUNCTION("""COMPUTED_VALUE"""),"2021/2022")</f>
        <v>2021/2022</v>
      </c>
      <c r="E150" s="9">
        <f>IFERROR(__xludf.DUMMYFUNCTION("""COMPUTED_VALUE"""),44559.0)</f>
        <v>44559</v>
      </c>
      <c r="F150" s="5" t="str">
        <f>IFERROR(__xludf.DUMMYFUNCTION("""COMPUTED_VALUE"""),"Ganjil")</f>
        <v>Ganjil</v>
      </c>
      <c r="G150" s="5" t="str">
        <f>IFERROR(__xludf.DUMMYFUNCTION("""COMPUTED_VALUE"""),"Akuntansi")</f>
        <v>Akuntansi</v>
      </c>
      <c r="H150" s="10" t="str">
        <f>IFERROR(__xludf.DUMMYFUNCTION("""COMPUTED_VALUE"""),"Mahasiswa")</f>
        <v>Mahasiswa</v>
      </c>
      <c r="I150" s="6" t="str">
        <f>IFERROR(__xludf.DUMMYFUNCTION("""COMPUTED_VALUE"""),"Anita Lestari")</f>
        <v>Anita Lestari</v>
      </c>
      <c r="J150" s="6" t="str">
        <f>IFERROR(__xludf.DUMMYFUNCTION("""COMPUTED_VALUE"""),"Eko Triyanto")</f>
        <v>Eko Triyanto</v>
      </c>
      <c r="K150" s="6"/>
      <c r="L150" s="6"/>
      <c r="M150" s="6"/>
      <c r="N150" s="6"/>
      <c r="O150" s="6"/>
      <c r="P150" s="10" t="str">
        <f>IFERROR(__xludf.DUMMYFUNCTION("""COMPUTED_VALUE"""),"Anita Lestari,Eko Triyanto,,")</f>
        <v>Anita Lestari,Eko Triyanto,,</v>
      </c>
      <c r="Q150" s="6"/>
      <c r="R150" s="6"/>
    </row>
    <row r="151">
      <c r="A151" s="5">
        <f>IFERROR(__xludf.DUMMYFUNCTION("""COMPUTED_VALUE"""),150.0)</f>
        <v>150</v>
      </c>
      <c r="B151" s="6" t="str">
        <f>IFERROR(__xludf.DUMMYFUNCTION("""COMPUTED_VALUE"""),"Faktor-Faktor yang Mempengaruhi Kepatuhan Wajib Pajak dalam Membayar Pajak Kendaraan Bermotor di Surakarta")</f>
        <v>Faktor-Faktor yang Mempengaruhi Kepatuhan Wajib Pajak dalam Membayar Pajak Kendaraan Bermotor di Surakarta</v>
      </c>
      <c r="C151" s="7">
        <f>IFERROR(__xludf.DUMMYFUNCTION("""COMPUTED_VALUE"""),2021.0)</f>
        <v>2021</v>
      </c>
      <c r="D151" s="8" t="str">
        <f>IFERROR(__xludf.DUMMYFUNCTION("""COMPUTED_VALUE"""),"2021/2022")</f>
        <v>2021/2022</v>
      </c>
      <c r="E151" s="9">
        <f>IFERROR(__xludf.DUMMYFUNCTION("""COMPUTED_VALUE"""),44559.0)</f>
        <v>44559</v>
      </c>
      <c r="F151" s="5" t="str">
        <f>IFERROR(__xludf.DUMMYFUNCTION("""COMPUTED_VALUE"""),"Ganjil")</f>
        <v>Ganjil</v>
      </c>
      <c r="G151" s="5" t="str">
        <f>IFERROR(__xludf.DUMMYFUNCTION("""COMPUTED_VALUE"""),"Akuntansi")</f>
        <v>Akuntansi</v>
      </c>
      <c r="H151" s="10" t="str">
        <f>IFERROR(__xludf.DUMMYFUNCTION("""COMPUTED_VALUE"""),"Mahasiswa")</f>
        <v>Mahasiswa</v>
      </c>
      <c r="I151" s="6" t="str">
        <f>IFERROR(__xludf.DUMMYFUNCTION("""COMPUTED_VALUE"""),"Yuka Mareta K")</f>
        <v>Yuka Mareta K</v>
      </c>
      <c r="J151" s="6" t="str">
        <f>IFERROR(__xludf.DUMMYFUNCTION("""COMPUTED_VALUE"""),"Arif Nugroho Rachman")</f>
        <v>Arif Nugroho Rachman</v>
      </c>
      <c r="K151" s="6"/>
      <c r="L151" s="6"/>
      <c r="M151" s="6"/>
      <c r="N151" s="6"/>
      <c r="O151" s="6"/>
      <c r="P151" s="10" t="str">
        <f>IFERROR(__xludf.DUMMYFUNCTION("""COMPUTED_VALUE"""),"Yuka Mareta K,Arif Nugroho Rachman,,")</f>
        <v>Yuka Mareta K,Arif Nugroho Rachman,,</v>
      </c>
      <c r="Q151" s="6"/>
      <c r="R151" s="6"/>
    </row>
    <row r="152">
      <c r="A152" s="5">
        <f>IFERROR(__xludf.DUMMYFUNCTION("""COMPUTED_VALUE"""),151.0)</f>
        <v>151</v>
      </c>
      <c r="B152" s="6" t="str">
        <f>IFERROR(__xludf.DUMMYFUNCTION("""COMPUTED_VALUE"""),"FAKTOR-FAKTOR YANG MEMPENGARUHI MINAT MAHASISWA MENJADI AKUNTAN PUBLIK (Studi kasus pada mahasiswa akuntansi perguruan tinggi di Surakarta)")</f>
        <v>FAKTOR-FAKTOR YANG MEMPENGARUHI MINAT MAHASISWA MENJADI AKUNTAN PUBLIK (Studi kasus pada mahasiswa akuntansi perguruan tinggi di Surakarta)</v>
      </c>
      <c r="C152" s="7">
        <f>IFERROR(__xludf.DUMMYFUNCTION("""COMPUTED_VALUE"""),2021.0)</f>
        <v>2021</v>
      </c>
      <c r="D152" s="8" t="str">
        <f>IFERROR(__xludf.DUMMYFUNCTION("""COMPUTED_VALUE"""),"2021/2022")</f>
        <v>2021/2022</v>
      </c>
      <c r="E152" s="9">
        <f>IFERROR(__xludf.DUMMYFUNCTION("""COMPUTED_VALUE"""),44559.0)</f>
        <v>44559</v>
      </c>
      <c r="F152" s="5" t="str">
        <f>IFERROR(__xludf.DUMMYFUNCTION("""COMPUTED_VALUE"""),"Ganjil")</f>
        <v>Ganjil</v>
      </c>
      <c r="G152" s="5" t="str">
        <f>IFERROR(__xludf.DUMMYFUNCTION("""COMPUTED_VALUE"""),"Akuntansi")</f>
        <v>Akuntansi</v>
      </c>
      <c r="H152" s="10" t="str">
        <f>IFERROR(__xludf.DUMMYFUNCTION("""COMPUTED_VALUE"""),"Mahasiswa")</f>
        <v>Mahasiswa</v>
      </c>
      <c r="I152" s="6" t="str">
        <f>IFERROR(__xludf.DUMMYFUNCTION("""COMPUTED_VALUE"""),"Sinta Purnama Sari")</f>
        <v>Sinta Purnama Sari</v>
      </c>
      <c r="J152" s="6" t="str">
        <f>IFERROR(__xludf.DUMMYFUNCTION("""COMPUTED_VALUE"""),"Ismunawan")</f>
        <v>Ismunawan</v>
      </c>
      <c r="K152" s="6"/>
      <c r="L152" s="6"/>
      <c r="M152" s="6"/>
      <c r="N152" s="6"/>
      <c r="O152" s="6"/>
      <c r="P152" s="10" t="str">
        <f>IFERROR(__xludf.DUMMYFUNCTION("""COMPUTED_VALUE"""),"Sinta Purnama Sari,Ismunawan,,")</f>
        <v>Sinta Purnama Sari,Ismunawan,,</v>
      </c>
      <c r="Q152" s="6"/>
      <c r="R152" s="6"/>
    </row>
    <row r="153">
      <c r="A153" s="5">
        <f>IFERROR(__xludf.DUMMYFUNCTION("""COMPUTED_VALUE"""),152.0)</f>
        <v>152</v>
      </c>
      <c r="B153" s="6" t="str">
        <f>IFERROR(__xludf.DUMMYFUNCTION("""COMPUTED_VALUE"""),"FAKTOR-FAKTOR YANG MEMPENGARUHI MINAT MAHASISWA/(i) STIE SURAKARTA JURUSAN AKUNTANSI DALAM PENGAMBILAN KEPUTUSAN BERKARIER DI BIDANG PERPAJAKAN")</f>
        <v>FAKTOR-FAKTOR YANG MEMPENGARUHI MINAT MAHASISWA/(i) STIE SURAKARTA JURUSAN AKUNTANSI DALAM PENGAMBILAN KEPUTUSAN BERKARIER DI BIDANG PERPAJAKAN</v>
      </c>
      <c r="C153" s="7">
        <f>IFERROR(__xludf.DUMMYFUNCTION("""COMPUTED_VALUE"""),2021.0)</f>
        <v>2021</v>
      </c>
      <c r="D153" s="8" t="str">
        <f>IFERROR(__xludf.DUMMYFUNCTION("""COMPUTED_VALUE"""),"2021/2022")</f>
        <v>2021/2022</v>
      </c>
      <c r="E153" s="9">
        <f>IFERROR(__xludf.DUMMYFUNCTION("""COMPUTED_VALUE"""),44559.0)</f>
        <v>44559</v>
      </c>
      <c r="F153" s="5" t="str">
        <f>IFERROR(__xludf.DUMMYFUNCTION("""COMPUTED_VALUE"""),"Ganjil")</f>
        <v>Ganjil</v>
      </c>
      <c r="G153" s="5" t="str">
        <f>IFERROR(__xludf.DUMMYFUNCTION("""COMPUTED_VALUE"""),"Akuntansi")</f>
        <v>Akuntansi</v>
      </c>
      <c r="H153" s="10" t="str">
        <f>IFERROR(__xludf.DUMMYFUNCTION("""COMPUTED_VALUE"""),"Mahasiswa")</f>
        <v>Mahasiswa</v>
      </c>
      <c r="I153" s="6" t="str">
        <f>IFERROR(__xludf.DUMMYFUNCTION("""COMPUTED_VALUE"""),"Nabila Tri Firda M")</f>
        <v>Nabila Tri Firda M</v>
      </c>
      <c r="J153" s="6" t="str">
        <f>IFERROR(__xludf.DUMMYFUNCTION("""COMPUTED_VALUE"""),"Ismunawan")</f>
        <v>Ismunawan</v>
      </c>
      <c r="K153" s="6"/>
      <c r="L153" s="6"/>
      <c r="M153" s="6"/>
      <c r="N153" s="6"/>
      <c r="O153" s="6"/>
      <c r="P153" s="10" t="str">
        <f>IFERROR(__xludf.DUMMYFUNCTION("""COMPUTED_VALUE"""),"Nabila Tri Firda M,Ismunawan,,")</f>
        <v>Nabila Tri Firda M,Ismunawan,,</v>
      </c>
      <c r="Q153" s="6"/>
      <c r="R153" s="6"/>
    </row>
    <row r="154">
      <c r="A154" s="5">
        <f>IFERROR(__xludf.DUMMYFUNCTION("""COMPUTED_VALUE"""),153.0)</f>
        <v>153</v>
      </c>
      <c r="B154" s="6" t="str">
        <f>IFERROR(__xludf.DUMMYFUNCTION("""COMPUTED_VALUE"""),"FAKTOR-FAKTOR YANG MEMPENGARUHI PENCATATAN AKUNTANSI PADA UMKM DI KABUPATEN KARANGANYAR")</f>
        <v>FAKTOR-FAKTOR YANG MEMPENGARUHI PENCATATAN AKUNTANSI PADA UMKM DI KABUPATEN KARANGANYAR</v>
      </c>
      <c r="C154" s="7">
        <f>IFERROR(__xludf.DUMMYFUNCTION("""COMPUTED_VALUE"""),2021.0)</f>
        <v>2021</v>
      </c>
      <c r="D154" s="8" t="str">
        <f>IFERROR(__xludf.DUMMYFUNCTION("""COMPUTED_VALUE"""),"2021/2022")</f>
        <v>2021/2022</v>
      </c>
      <c r="E154" s="9">
        <f>IFERROR(__xludf.DUMMYFUNCTION("""COMPUTED_VALUE"""),44559.0)</f>
        <v>44559</v>
      </c>
      <c r="F154" s="5" t="str">
        <f>IFERROR(__xludf.DUMMYFUNCTION("""COMPUTED_VALUE"""),"Ganjil")</f>
        <v>Ganjil</v>
      </c>
      <c r="G154" s="5" t="str">
        <f>IFERROR(__xludf.DUMMYFUNCTION("""COMPUTED_VALUE"""),"Akuntansi")</f>
        <v>Akuntansi</v>
      </c>
      <c r="H154" s="10" t="str">
        <f>IFERROR(__xludf.DUMMYFUNCTION("""COMPUTED_VALUE"""),"Mahasiswa")</f>
        <v>Mahasiswa</v>
      </c>
      <c r="I154" s="6" t="str">
        <f>IFERROR(__xludf.DUMMYFUNCTION("""COMPUTED_VALUE"""),"Mayang Dewanti")</f>
        <v>Mayang Dewanti</v>
      </c>
      <c r="J154" s="6" t="str">
        <f>IFERROR(__xludf.DUMMYFUNCTION("""COMPUTED_VALUE"""),"Eko Triyanto")</f>
        <v>Eko Triyanto</v>
      </c>
      <c r="K154" s="6"/>
      <c r="L154" s="6"/>
      <c r="M154" s="6"/>
      <c r="N154" s="6"/>
      <c r="O154" s="6"/>
      <c r="P154" s="10" t="str">
        <f>IFERROR(__xludf.DUMMYFUNCTION("""COMPUTED_VALUE"""),"Mayang Dewanti,Eko Triyanto,,")</f>
        <v>Mayang Dewanti,Eko Triyanto,,</v>
      </c>
      <c r="Q154" s="6"/>
      <c r="R154" s="6"/>
    </row>
    <row r="155">
      <c r="A155" s="5">
        <f>IFERROR(__xludf.DUMMYFUNCTION("""COMPUTED_VALUE"""),154.0)</f>
        <v>154</v>
      </c>
      <c r="B155" s="6" t="str">
        <f>IFERROR(__xludf.DUMMYFUNCTION("""COMPUTED_VALUE"""),"FAKTOR-FAKTOR YANG MEMPENGARUHI PENDAPATAN PEDAGANG KAKI LIMA DI KECAMATAN KARTASURA")</f>
        <v>FAKTOR-FAKTOR YANG MEMPENGARUHI PENDAPATAN PEDAGANG KAKI LIMA DI KECAMATAN KARTASURA</v>
      </c>
      <c r="C155" s="7">
        <f>IFERROR(__xludf.DUMMYFUNCTION("""COMPUTED_VALUE"""),2021.0)</f>
        <v>2021</v>
      </c>
      <c r="D155" s="8" t="str">
        <f>IFERROR(__xludf.DUMMYFUNCTION("""COMPUTED_VALUE"""),"2021/2022")</f>
        <v>2021/2022</v>
      </c>
      <c r="E155" s="9">
        <f>IFERROR(__xludf.DUMMYFUNCTION("""COMPUTED_VALUE"""),44559.0)</f>
        <v>44559</v>
      </c>
      <c r="F155" s="5" t="str">
        <f>IFERROR(__xludf.DUMMYFUNCTION("""COMPUTED_VALUE"""),"Ganjil")</f>
        <v>Ganjil</v>
      </c>
      <c r="G155" s="5" t="str">
        <f>IFERROR(__xludf.DUMMYFUNCTION("""COMPUTED_VALUE"""),"Akuntansi")</f>
        <v>Akuntansi</v>
      </c>
      <c r="H155" s="10" t="str">
        <f>IFERROR(__xludf.DUMMYFUNCTION("""COMPUTED_VALUE"""),"Mahasiswa")</f>
        <v>Mahasiswa</v>
      </c>
      <c r="I155" s="6" t="str">
        <f>IFERROR(__xludf.DUMMYFUNCTION("""COMPUTED_VALUE"""),"Ana Meylinda")</f>
        <v>Ana Meylinda</v>
      </c>
      <c r="J155" s="6" t="str">
        <f>IFERROR(__xludf.DUMMYFUNCTION("""COMPUTED_VALUE"""),"Pardi")</f>
        <v>Pardi</v>
      </c>
      <c r="K155" s="6"/>
      <c r="L155" s="6"/>
      <c r="M155" s="6"/>
      <c r="N155" s="6"/>
      <c r="O155" s="6"/>
      <c r="P155" s="10" t="str">
        <f>IFERROR(__xludf.DUMMYFUNCTION("""COMPUTED_VALUE"""),"Ana Meylinda,Pardi,,")</f>
        <v>Ana Meylinda,Pardi,,</v>
      </c>
      <c r="Q155" s="6"/>
      <c r="R155" s="6"/>
    </row>
    <row r="156">
      <c r="A156" s="5">
        <f>IFERROR(__xludf.DUMMYFUNCTION("""COMPUTED_VALUE"""),155.0)</f>
        <v>155</v>
      </c>
      <c r="B156" s="6" t="str">
        <f>IFERROR(__xludf.DUMMYFUNCTION("""COMPUTED_VALUE"""),"Faktor-Faktor Yang Mempengaruhi Political Budget Cycle di Indonesia")</f>
        <v>Faktor-Faktor Yang Mempengaruhi Political Budget Cycle di Indonesia</v>
      </c>
      <c r="C156" s="7">
        <f>IFERROR(__xludf.DUMMYFUNCTION("""COMPUTED_VALUE"""),2021.0)</f>
        <v>2021</v>
      </c>
      <c r="D156" s="8" t="str">
        <f>IFERROR(__xludf.DUMMYFUNCTION("""COMPUTED_VALUE"""),"2021/2022")</f>
        <v>2021/2022</v>
      </c>
      <c r="E156" s="9">
        <f>IFERROR(__xludf.DUMMYFUNCTION("""COMPUTED_VALUE"""),44559.0)</f>
        <v>44559</v>
      </c>
      <c r="F156" s="5" t="str">
        <f>IFERROR(__xludf.DUMMYFUNCTION("""COMPUTED_VALUE"""),"Ganjil")</f>
        <v>Ganjil</v>
      </c>
      <c r="G156" s="5" t="str">
        <f>IFERROR(__xludf.DUMMYFUNCTION("""COMPUTED_VALUE"""),"Akuntansi")</f>
        <v>Akuntansi</v>
      </c>
      <c r="H156" s="10" t="str">
        <f>IFERROR(__xludf.DUMMYFUNCTION("""COMPUTED_VALUE"""),"Mahasiswa")</f>
        <v>Mahasiswa</v>
      </c>
      <c r="I156" s="6" t="str">
        <f>IFERROR(__xludf.DUMMYFUNCTION("""COMPUTED_VALUE"""),"Chyntia Theresia")</f>
        <v>Chyntia Theresia</v>
      </c>
      <c r="J156" s="6" t="str">
        <f>IFERROR(__xludf.DUMMYFUNCTION("""COMPUTED_VALUE"""),"Nur Kholis")</f>
        <v>Nur Kholis</v>
      </c>
      <c r="K156" s="6"/>
      <c r="L156" s="6"/>
      <c r="M156" s="6"/>
      <c r="N156" s="6"/>
      <c r="O156" s="6"/>
      <c r="P156" s="10" t="str">
        <f>IFERROR(__xludf.DUMMYFUNCTION("""COMPUTED_VALUE"""),"Chyntia Theresia,Nur Kholis,,")</f>
        <v>Chyntia Theresia,Nur Kholis,,</v>
      </c>
      <c r="Q156" s="6"/>
      <c r="R156" s="6"/>
    </row>
    <row r="157">
      <c r="A157" s="5">
        <f>IFERROR(__xludf.DUMMYFUNCTION("""COMPUTED_VALUE"""),156.0)</f>
        <v>156</v>
      </c>
      <c r="B157" s="6" t="str">
        <f>IFERROR(__xludf.DUMMYFUNCTION("""COMPUTED_VALUE"""),"FAKTOR-FAKTOR YANG MEMPENGARUHI RETURN SAHAM PERUSAHAAN LQ45 2017-2019")</f>
        <v>FAKTOR-FAKTOR YANG MEMPENGARUHI RETURN SAHAM PERUSAHAAN LQ45 2017-2019</v>
      </c>
      <c r="C157" s="7">
        <f>IFERROR(__xludf.DUMMYFUNCTION("""COMPUTED_VALUE"""),2021.0)</f>
        <v>2021</v>
      </c>
      <c r="D157" s="8" t="str">
        <f>IFERROR(__xludf.DUMMYFUNCTION("""COMPUTED_VALUE"""),"2021/2022")</f>
        <v>2021/2022</v>
      </c>
      <c r="E157" s="9">
        <f>IFERROR(__xludf.DUMMYFUNCTION("""COMPUTED_VALUE"""),44559.0)</f>
        <v>44559</v>
      </c>
      <c r="F157" s="5" t="str">
        <f>IFERROR(__xludf.DUMMYFUNCTION("""COMPUTED_VALUE"""),"Ganjil")</f>
        <v>Ganjil</v>
      </c>
      <c r="G157" s="5" t="str">
        <f>IFERROR(__xludf.DUMMYFUNCTION("""COMPUTED_VALUE"""),"Akuntansi")</f>
        <v>Akuntansi</v>
      </c>
      <c r="H157" s="10" t="str">
        <f>IFERROR(__xludf.DUMMYFUNCTION("""COMPUTED_VALUE"""),"Mahasiswa")</f>
        <v>Mahasiswa</v>
      </c>
      <c r="I157" s="6" t="str">
        <f>IFERROR(__xludf.DUMMYFUNCTION("""COMPUTED_VALUE"""),"Redita Kusumawati")</f>
        <v>Redita Kusumawati</v>
      </c>
      <c r="J157" s="6" t="str">
        <f>IFERROR(__xludf.DUMMYFUNCTION("""COMPUTED_VALUE"""),"Ismunawan")</f>
        <v>Ismunawan</v>
      </c>
      <c r="K157" s="6"/>
      <c r="L157" s="6"/>
      <c r="M157" s="6"/>
      <c r="N157" s="6"/>
      <c r="O157" s="6"/>
      <c r="P157" s="10" t="str">
        <f>IFERROR(__xludf.DUMMYFUNCTION("""COMPUTED_VALUE"""),"Redita Kusumawati,Ismunawan,,")</f>
        <v>Redita Kusumawati,Ismunawan,,</v>
      </c>
      <c r="Q157" s="6"/>
      <c r="R157" s="6"/>
    </row>
    <row r="158">
      <c r="A158" s="5">
        <f>IFERROR(__xludf.DUMMYFUNCTION("""COMPUTED_VALUE"""),157.0)</f>
        <v>157</v>
      </c>
      <c r="B158" s="6" t="str">
        <f>IFERROR(__xludf.DUMMYFUNCTION("""COMPUTED_VALUE"""),"FAKTOR-FAKTOR YANG MEMPENGARUHI KEPATUHAN WAJIB PAJAK DALAM MEMBAYAR PBB (Studi Pada Wajib Pajak Bumi dan Bangunan Pada Kelurahan Bulakrejo)")</f>
        <v>FAKTOR-FAKTOR YANG MEMPENGARUHI KEPATUHAN WAJIB PAJAK DALAM MEMBAYAR PBB (Studi Pada Wajib Pajak Bumi dan Bangunan Pada Kelurahan Bulakrejo)</v>
      </c>
      <c r="C158" s="7">
        <f>IFERROR(__xludf.DUMMYFUNCTION("""COMPUTED_VALUE"""),2021.0)</f>
        <v>2021</v>
      </c>
      <c r="D158" s="8" t="str">
        <f>IFERROR(__xludf.DUMMYFUNCTION("""COMPUTED_VALUE"""),"2021/2022")</f>
        <v>2021/2022</v>
      </c>
      <c r="E158" s="9">
        <f>IFERROR(__xludf.DUMMYFUNCTION("""COMPUTED_VALUE"""),44559.0)</f>
        <v>44559</v>
      </c>
      <c r="F158" s="5" t="str">
        <f>IFERROR(__xludf.DUMMYFUNCTION("""COMPUTED_VALUE"""),"Ganjil")</f>
        <v>Ganjil</v>
      </c>
      <c r="G158" s="5" t="str">
        <f>IFERROR(__xludf.DUMMYFUNCTION("""COMPUTED_VALUE"""),"Akuntansi")</f>
        <v>Akuntansi</v>
      </c>
      <c r="H158" s="10" t="str">
        <f>IFERROR(__xludf.DUMMYFUNCTION("""COMPUTED_VALUE"""),"Mahasiswa")</f>
        <v>Mahasiswa</v>
      </c>
      <c r="I158" s="6" t="str">
        <f>IFERROR(__xludf.DUMMYFUNCTION("""COMPUTED_VALUE"""),"Fatikah Nur Khasanah")</f>
        <v>Fatikah Nur Khasanah</v>
      </c>
      <c r="J158" s="6" t="str">
        <f>IFERROR(__xludf.DUMMYFUNCTION("""COMPUTED_VALUE"""),"Arif Nugroho Rachman")</f>
        <v>Arif Nugroho Rachman</v>
      </c>
      <c r="K158" s="6"/>
      <c r="L158" s="6"/>
      <c r="M158" s="6"/>
      <c r="N158" s="6"/>
      <c r="O158" s="6"/>
      <c r="P158" s="10" t="str">
        <f>IFERROR(__xludf.DUMMYFUNCTION("""COMPUTED_VALUE"""),"Fatikah Nur Khasanah,Arif Nugroho Rachman,,")</f>
        <v>Fatikah Nur Khasanah,Arif Nugroho Rachman,,</v>
      </c>
      <c r="Q158" s="6"/>
      <c r="R158" s="6"/>
    </row>
    <row r="159">
      <c r="A159" s="5">
        <f>IFERROR(__xludf.DUMMYFUNCTION("""COMPUTED_VALUE"""),158.0)</f>
        <v>158</v>
      </c>
      <c r="B159" s="6" t="str">
        <f>IFERROR(__xludf.DUMMYFUNCTION("""COMPUTED_VALUE"""),"FAKTOR-FAKTORYANG MENENTUKAN HARGA DALAM PROYEK PEMBUATAN SUMUR BOR DI MITRA ABADI TEKNIK")</f>
        <v>FAKTOR-FAKTORYANG MENENTUKAN HARGA DALAM PROYEK PEMBUATAN SUMUR BOR DI MITRA ABADI TEKNIK</v>
      </c>
      <c r="C159" s="7">
        <f>IFERROR(__xludf.DUMMYFUNCTION("""COMPUTED_VALUE"""),2021.0)</f>
        <v>2021</v>
      </c>
      <c r="D159" s="8" t="str">
        <f>IFERROR(__xludf.DUMMYFUNCTION("""COMPUTED_VALUE"""),"2021/2022")</f>
        <v>2021/2022</v>
      </c>
      <c r="E159" s="9">
        <f>IFERROR(__xludf.DUMMYFUNCTION("""COMPUTED_VALUE"""),44559.0)</f>
        <v>44559</v>
      </c>
      <c r="F159" s="5" t="str">
        <f>IFERROR(__xludf.DUMMYFUNCTION("""COMPUTED_VALUE"""),"Ganjil")</f>
        <v>Ganjil</v>
      </c>
      <c r="G159" s="5" t="str">
        <f>IFERROR(__xludf.DUMMYFUNCTION("""COMPUTED_VALUE"""),"Akuntansi")</f>
        <v>Akuntansi</v>
      </c>
      <c r="H159" s="10" t="str">
        <f>IFERROR(__xludf.DUMMYFUNCTION("""COMPUTED_VALUE"""),"Mahasiswa")</f>
        <v>Mahasiswa</v>
      </c>
      <c r="I159" s="6" t="str">
        <f>IFERROR(__xludf.DUMMYFUNCTION("""COMPUTED_VALUE"""),"Dwi Palupi")</f>
        <v>Dwi Palupi</v>
      </c>
      <c r="J159" s="6" t="str">
        <f>IFERROR(__xludf.DUMMYFUNCTION("""COMPUTED_VALUE"""),"Ismunawan")</f>
        <v>Ismunawan</v>
      </c>
      <c r="K159" s="6"/>
      <c r="L159" s="6"/>
      <c r="M159" s="6"/>
      <c r="N159" s="6"/>
      <c r="O159" s="6"/>
      <c r="P159" s="10" t="str">
        <f>IFERROR(__xludf.DUMMYFUNCTION("""COMPUTED_VALUE"""),"Dwi Palupi,Ismunawan,,")</f>
        <v>Dwi Palupi,Ismunawan,,</v>
      </c>
      <c r="Q159" s="6"/>
      <c r="R159" s="6"/>
    </row>
    <row r="160">
      <c r="A160" s="5">
        <f>IFERROR(__xludf.DUMMYFUNCTION("""COMPUTED_VALUE"""),159.0)</f>
        <v>159</v>
      </c>
      <c r="B160" s="6" t="str">
        <f>IFERROR(__xludf.DUMMYFUNCTION("""COMPUTED_VALUE"""),"Faktor–Faktor Penggunaan Akuntansi UMKM (Studi UMKM Pertenunan Di Cawas Klaten)")</f>
        <v>Faktor–Faktor Penggunaan Akuntansi UMKM (Studi UMKM Pertenunan Di Cawas Klaten)</v>
      </c>
      <c r="C160" s="7">
        <f>IFERROR(__xludf.DUMMYFUNCTION("""COMPUTED_VALUE"""),2021.0)</f>
        <v>2021</v>
      </c>
      <c r="D160" s="8" t="str">
        <f>IFERROR(__xludf.DUMMYFUNCTION("""COMPUTED_VALUE"""),"2021/2022")</f>
        <v>2021/2022</v>
      </c>
      <c r="E160" s="9">
        <f>IFERROR(__xludf.DUMMYFUNCTION("""COMPUTED_VALUE"""),44559.0)</f>
        <v>44559</v>
      </c>
      <c r="F160" s="5" t="str">
        <f>IFERROR(__xludf.DUMMYFUNCTION("""COMPUTED_VALUE"""),"Ganjil")</f>
        <v>Ganjil</v>
      </c>
      <c r="G160" s="5" t="str">
        <f>IFERROR(__xludf.DUMMYFUNCTION("""COMPUTED_VALUE"""),"Akuntansi")</f>
        <v>Akuntansi</v>
      </c>
      <c r="H160" s="10" t="str">
        <f>IFERROR(__xludf.DUMMYFUNCTION("""COMPUTED_VALUE"""),"Mahasiswa")</f>
        <v>Mahasiswa</v>
      </c>
      <c r="I160" s="6" t="str">
        <f>IFERROR(__xludf.DUMMYFUNCTION("""COMPUTED_VALUE"""),"Avita Ayu Fitria")</f>
        <v>Avita Ayu Fitria</v>
      </c>
      <c r="J160" s="6" t="str">
        <f>IFERROR(__xludf.DUMMYFUNCTION("""COMPUTED_VALUE"""),"Pardi")</f>
        <v>Pardi</v>
      </c>
      <c r="K160" s="6"/>
      <c r="L160" s="6"/>
      <c r="M160" s="6"/>
      <c r="N160" s="6"/>
      <c r="O160" s="6"/>
      <c r="P160" s="10" t="str">
        <f>IFERROR(__xludf.DUMMYFUNCTION("""COMPUTED_VALUE"""),"Avita Ayu Fitria,Pardi,,")</f>
        <v>Avita Ayu Fitria,Pardi,,</v>
      </c>
      <c r="Q160" s="6"/>
      <c r="R160" s="6"/>
    </row>
    <row r="161">
      <c r="A161" s="5">
        <f>IFERROR(__xludf.DUMMYFUNCTION("""COMPUTED_VALUE"""),160.0)</f>
        <v>160</v>
      </c>
      <c r="B161" s="6" t="str">
        <f>IFERROR(__xludf.DUMMYFUNCTION("""COMPUTED_VALUE"""),"IMPACT PANDEMI COVID-19 TERHADAP RENTABILITAS BANK PERKREDITAN RAKYAT (BPR) KONVENSIONAL DI KABUPATEN SUKOHARJO")</f>
        <v>IMPACT PANDEMI COVID-19 TERHADAP RENTABILITAS BANK PERKREDITAN RAKYAT (BPR) KONVENSIONAL DI KABUPATEN SUKOHARJO</v>
      </c>
      <c r="C161" s="7">
        <f>IFERROR(__xludf.DUMMYFUNCTION("""COMPUTED_VALUE"""),2021.0)</f>
        <v>2021</v>
      </c>
      <c r="D161" s="8" t="str">
        <f>IFERROR(__xludf.DUMMYFUNCTION("""COMPUTED_VALUE"""),"2021/2022")</f>
        <v>2021/2022</v>
      </c>
      <c r="E161" s="9">
        <f>IFERROR(__xludf.DUMMYFUNCTION("""COMPUTED_VALUE"""),44559.0)</f>
        <v>44559</v>
      </c>
      <c r="F161" s="5" t="str">
        <f>IFERROR(__xludf.DUMMYFUNCTION("""COMPUTED_VALUE"""),"Ganjil")</f>
        <v>Ganjil</v>
      </c>
      <c r="G161" s="5" t="str">
        <f>IFERROR(__xludf.DUMMYFUNCTION("""COMPUTED_VALUE"""),"Akuntansi")</f>
        <v>Akuntansi</v>
      </c>
      <c r="H161" s="10" t="str">
        <f>IFERROR(__xludf.DUMMYFUNCTION("""COMPUTED_VALUE"""),"Mahasiswa")</f>
        <v>Mahasiswa</v>
      </c>
      <c r="I161" s="6" t="str">
        <f>IFERROR(__xludf.DUMMYFUNCTION("""COMPUTED_VALUE"""),"Poernaningrum Sekar Wardhani")</f>
        <v>Poernaningrum Sekar Wardhani</v>
      </c>
      <c r="J161" s="6" t="str">
        <f>IFERROR(__xludf.DUMMYFUNCTION("""COMPUTED_VALUE"""),"Ismunawan")</f>
        <v>Ismunawan</v>
      </c>
      <c r="K161" s="6"/>
      <c r="L161" s="6"/>
      <c r="M161" s="6"/>
      <c r="N161" s="6"/>
      <c r="O161" s="6"/>
      <c r="P161" s="10" t="str">
        <f>IFERROR(__xludf.DUMMYFUNCTION("""COMPUTED_VALUE"""),"Poernaningrum Sekar Wardhani,Ismunawan,,")</f>
        <v>Poernaningrum Sekar Wardhani,Ismunawan,,</v>
      </c>
      <c r="Q161" s="6"/>
      <c r="R161" s="6"/>
    </row>
    <row r="162">
      <c r="A162" s="5">
        <f>IFERROR(__xludf.DUMMYFUNCTION("""COMPUTED_VALUE"""),161.0)</f>
        <v>161</v>
      </c>
      <c r="B162" s="6" t="str">
        <f>IFERROR(__xludf.DUMMYFUNCTION("""COMPUTED_VALUE"""),"IMPLEMENTASI SISTEM INFORMASI AKUNTANSI DI CV. RAJAWALI EMAS")</f>
        <v>IMPLEMENTASI SISTEM INFORMASI AKUNTANSI DI CV. RAJAWALI EMAS</v>
      </c>
      <c r="C162" s="7">
        <f>IFERROR(__xludf.DUMMYFUNCTION("""COMPUTED_VALUE"""),2021.0)</f>
        <v>2021</v>
      </c>
      <c r="D162" s="8" t="str">
        <f>IFERROR(__xludf.DUMMYFUNCTION("""COMPUTED_VALUE"""),"2021/2022")</f>
        <v>2021/2022</v>
      </c>
      <c r="E162" s="9">
        <f>IFERROR(__xludf.DUMMYFUNCTION("""COMPUTED_VALUE"""),44559.0)</f>
        <v>44559</v>
      </c>
      <c r="F162" s="5" t="str">
        <f>IFERROR(__xludf.DUMMYFUNCTION("""COMPUTED_VALUE"""),"Ganjil")</f>
        <v>Ganjil</v>
      </c>
      <c r="G162" s="5" t="str">
        <f>IFERROR(__xludf.DUMMYFUNCTION("""COMPUTED_VALUE"""),"Akuntansi")</f>
        <v>Akuntansi</v>
      </c>
      <c r="H162" s="10" t="str">
        <f>IFERROR(__xludf.DUMMYFUNCTION("""COMPUTED_VALUE"""),"Mahasiswa")</f>
        <v>Mahasiswa</v>
      </c>
      <c r="I162" s="6" t="str">
        <f>IFERROR(__xludf.DUMMYFUNCTION("""COMPUTED_VALUE"""),"Nisa’ A Rizki")</f>
        <v>Nisa’ A Rizki</v>
      </c>
      <c r="J162" s="6" t="str">
        <f>IFERROR(__xludf.DUMMYFUNCTION("""COMPUTED_VALUE"""),"Arif Nugroho Rachman")</f>
        <v>Arif Nugroho Rachman</v>
      </c>
      <c r="K162" s="6"/>
      <c r="L162" s="6"/>
      <c r="M162" s="6"/>
      <c r="N162" s="6"/>
      <c r="O162" s="6"/>
      <c r="P162" s="10" t="str">
        <f>IFERROR(__xludf.DUMMYFUNCTION("""COMPUTED_VALUE"""),"Nisa’ A Rizki,Arif Nugroho Rachman,,")</f>
        <v>Nisa’ A Rizki,Arif Nugroho Rachman,,</v>
      </c>
      <c r="Q162" s="6"/>
      <c r="R162" s="6"/>
    </row>
    <row r="163">
      <c r="A163" s="5">
        <f>IFERROR(__xludf.DUMMYFUNCTION("""COMPUTED_VALUE"""),162.0)</f>
        <v>162</v>
      </c>
      <c r="B163" s="6" t="str">
        <f>IFERROR(__xludf.DUMMYFUNCTION("""COMPUTED_VALUE"""),"KAJIAN RASIO KEUANGAN DENGAN HARGA SAHAM PERUSAHAAN OTOMOTIF INDONESIA")</f>
        <v>KAJIAN RASIO KEUANGAN DENGAN HARGA SAHAM PERUSAHAAN OTOMOTIF INDONESIA</v>
      </c>
      <c r="C163" s="7">
        <f>IFERROR(__xludf.DUMMYFUNCTION("""COMPUTED_VALUE"""),2021.0)</f>
        <v>2021</v>
      </c>
      <c r="D163" s="8" t="str">
        <f>IFERROR(__xludf.DUMMYFUNCTION("""COMPUTED_VALUE"""),"2021/2022")</f>
        <v>2021/2022</v>
      </c>
      <c r="E163" s="9">
        <f>IFERROR(__xludf.DUMMYFUNCTION("""COMPUTED_VALUE"""),44559.0)</f>
        <v>44559</v>
      </c>
      <c r="F163" s="5" t="str">
        <f>IFERROR(__xludf.DUMMYFUNCTION("""COMPUTED_VALUE"""),"Ganjil")</f>
        <v>Ganjil</v>
      </c>
      <c r="G163" s="5" t="str">
        <f>IFERROR(__xludf.DUMMYFUNCTION("""COMPUTED_VALUE"""),"Akuntansi")</f>
        <v>Akuntansi</v>
      </c>
      <c r="H163" s="10" t="str">
        <f>IFERROR(__xludf.DUMMYFUNCTION("""COMPUTED_VALUE"""),"Mahasiswa")</f>
        <v>Mahasiswa</v>
      </c>
      <c r="I163" s="6" t="str">
        <f>IFERROR(__xludf.DUMMYFUNCTION("""COMPUTED_VALUE"""),"Agnes Dhian Anugraheni")</f>
        <v>Agnes Dhian Anugraheni</v>
      </c>
      <c r="J163" s="6" t="str">
        <f>IFERROR(__xludf.DUMMYFUNCTION("""COMPUTED_VALUE"""),"Pardi")</f>
        <v>Pardi</v>
      </c>
      <c r="K163" s="6"/>
      <c r="L163" s="6"/>
      <c r="M163" s="6"/>
      <c r="N163" s="6"/>
      <c r="O163" s="6"/>
      <c r="P163" s="10" t="str">
        <f>IFERROR(__xludf.DUMMYFUNCTION("""COMPUTED_VALUE"""),"Agnes Dhian Anugraheni,Pardi,,")</f>
        <v>Agnes Dhian Anugraheni,Pardi,,</v>
      </c>
      <c r="Q163" s="6"/>
      <c r="R163" s="6"/>
    </row>
    <row r="164">
      <c r="A164" s="5">
        <f>IFERROR(__xludf.DUMMYFUNCTION("""COMPUTED_VALUE"""),163.0)</f>
        <v>163</v>
      </c>
      <c r="B164" s="6" t="str">
        <f>IFERROR(__xludf.DUMMYFUNCTION("""COMPUTED_VALUE"""),"Mendeteksi Kecurangan Laporan Keuangan dengan Analisis Teori Fraud Pentagon")</f>
        <v>Mendeteksi Kecurangan Laporan Keuangan dengan Analisis Teori Fraud Pentagon</v>
      </c>
      <c r="C164" s="7">
        <f>IFERROR(__xludf.DUMMYFUNCTION("""COMPUTED_VALUE"""),2021.0)</f>
        <v>2021</v>
      </c>
      <c r="D164" s="8" t="str">
        <f>IFERROR(__xludf.DUMMYFUNCTION("""COMPUTED_VALUE"""),"2021/2022")</f>
        <v>2021/2022</v>
      </c>
      <c r="E164" s="9">
        <f>IFERROR(__xludf.DUMMYFUNCTION("""COMPUTED_VALUE"""),44559.0)</f>
        <v>44559</v>
      </c>
      <c r="F164" s="5" t="str">
        <f>IFERROR(__xludf.DUMMYFUNCTION("""COMPUTED_VALUE"""),"Ganjil")</f>
        <v>Ganjil</v>
      </c>
      <c r="G164" s="5" t="str">
        <f>IFERROR(__xludf.DUMMYFUNCTION("""COMPUTED_VALUE"""),"Akuntansi")</f>
        <v>Akuntansi</v>
      </c>
      <c r="H164" s="10" t="str">
        <f>IFERROR(__xludf.DUMMYFUNCTION("""COMPUTED_VALUE"""),"Mahasiswa")</f>
        <v>Mahasiswa</v>
      </c>
      <c r="I164" s="6" t="str">
        <f>IFERROR(__xludf.DUMMYFUNCTION("""COMPUTED_VALUE"""),"Permata Adnazara N")</f>
        <v>Permata Adnazara N</v>
      </c>
      <c r="J164" s="6" t="str">
        <f>IFERROR(__xludf.DUMMYFUNCTION("""COMPUTED_VALUE"""),"Nur Kholis")</f>
        <v>Nur Kholis</v>
      </c>
      <c r="K164" s="6"/>
      <c r="L164" s="6"/>
      <c r="M164" s="6"/>
      <c r="N164" s="6"/>
      <c r="O164" s="6"/>
      <c r="P164" s="10" t="str">
        <f>IFERROR(__xludf.DUMMYFUNCTION("""COMPUTED_VALUE"""),"Permata Adnazara N,Nur Kholis,,")</f>
        <v>Permata Adnazara N,Nur Kholis,,</v>
      </c>
      <c r="Q164" s="11" t="str">
        <f>IFERROR(__xludf.DUMMYFUNCTION("""COMPUTED_VALUE"""),"https://journal.uniku.ac.id/index.php/jrka/article/view/8344")</f>
        <v>https://journal.uniku.ac.id/index.php/jrka/article/view/8344</v>
      </c>
      <c r="R164" s="6"/>
    </row>
    <row r="165">
      <c r="A165" s="5">
        <f>IFERROR(__xludf.DUMMYFUNCTION("""COMPUTED_VALUE"""),164.0)</f>
        <v>164</v>
      </c>
      <c r="B165" s="6" t="str">
        <f>IFERROR(__xludf.DUMMYFUNCTION("""COMPUTED_VALUE"""),"Pengaruh Akuntabilitas Pengelolaan Keuangan Desa, Transparansi, Partisipasi Masyarakat Dan Kebijakan Desa Terhadap Kesejahteraan Masyarakat (Study Kasus Desa Temon Kecamatan Simo Kabupaten Boyolali)")</f>
        <v>Pengaruh Akuntabilitas Pengelolaan Keuangan Desa, Transparansi, Partisipasi Masyarakat Dan Kebijakan Desa Terhadap Kesejahteraan Masyarakat (Study Kasus Desa Temon Kecamatan Simo Kabupaten Boyolali)</v>
      </c>
      <c r="C165" s="7">
        <f>IFERROR(__xludf.DUMMYFUNCTION("""COMPUTED_VALUE"""),2021.0)</f>
        <v>2021</v>
      </c>
      <c r="D165" s="8" t="str">
        <f>IFERROR(__xludf.DUMMYFUNCTION("""COMPUTED_VALUE"""),"2021/2022")</f>
        <v>2021/2022</v>
      </c>
      <c r="E165" s="9">
        <f>IFERROR(__xludf.DUMMYFUNCTION("""COMPUTED_VALUE"""),44559.0)</f>
        <v>44559</v>
      </c>
      <c r="F165" s="5" t="str">
        <f>IFERROR(__xludf.DUMMYFUNCTION("""COMPUTED_VALUE"""),"Ganjil")</f>
        <v>Ganjil</v>
      </c>
      <c r="G165" s="5" t="str">
        <f>IFERROR(__xludf.DUMMYFUNCTION("""COMPUTED_VALUE"""),"Akuntansi")</f>
        <v>Akuntansi</v>
      </c>
      <c r="H165" s="10" t="str">
        <f>IFERROR(__xludf.DUMMYFUNCTION("""COMPUTED_VALUE"""),"Mahasiswa")</f>
        <v>Mahasiswa</v>
      </c>
      <c r="I165" s="6" t="str">
        <f>IFERROR(__xludf.DUMMYFUNCTION("""COMPUTED_VALUE"""),"Miftaqul Wahyuwibowo")</f>
        <v>Miftaqul Wahyuwibowo</v>
      </c>
      <c r="J165" s="6" t="str">
        <f>IFERROR(__xludf.DUMMYFUNCTION("""COMPUTED_VALUE"""),"Eko Triyanto")</f>
        <v>Eko Triyanto</v>
      </c>
      <c r="K165" s="6"/>
      <c r="L165" s="6"/>
      <c r="M165" s="6"/>
      <c r="N165" s="6"/>
      <c r="O165" s="6"/>
      <c r="P165" s="10" t="str">
        <f>IFERROR(__xludf.DUMMYFUNCTION("""COMPUTED_VALUE"""),"Miftaqul Wahyuwibowo,Eko Triyanto,,")</f>
        <v>Miftaqul Wahyuwibowo,Eko Triyanto,,</v>
      </c>
      <c r="Q165" s="6"/>
      <c r="R165" s="6"/>
    </row>
    <row r="166">
      <c r="A166" s="5">
        <f>IFERROR(__xludf.DUMMYFUNCTION("""COMPUTED_VALUE"""),165.0)</f>
        <v>165</v>
      </c>
      <c r="B166" s="6" t="str">
        <f>IFERROR(__xludf.DUMMYFUNCTION("""COMPUTED_VALUE"""),"PENGARUH BUDAYA ORGANISASI, STRATEGI PERUSAHAAN, DAN TEKNOLOGI INFORMASI TERHADAP SISTEM INFORMASI AKUNTANSI STUDI CV. CITRA SARANA SOLUSI")</f>
        <v>PENGARUH BUDAYA ORGANISASI, STRATEGI PERUSAHAAN, DAN TEKNOLOGI INFORMASI TERHADAP SISTEM INFORMASI AKUNTANSI STUDI CV. CITRA SARANA SOLUSI</v>
      </c>
      <c r="C166" s="7">
        <f>IFERROR(__xludf.DUMMYFUNCTION("""COMPUTED_VALUE"""),2021.0)</f>
        <v>2021</v>
      </c>
      <c r="D166" s="8" t="str">
        <f>IFERROR(__xludf.DUMMYFUNCTION("""COMPUTED_VALUE"""),"2021/2022")</f>
        <v>2021/2022</v>
      </c>
      <c r="E166" s="9">
        <f>IFERROR(__xludf.DUMMYFUNCTION("""COMPUTED_VALUE"""),44559.0)</f>
        <v>44559</v>
      </c>
      <c r="F166" s="5" t="str">
        <f>IFERROR(__xludf.DUMMYFUNCTION("""COMPUTED_VALUE"""),"Ganjil")</f>
        <v>Ganjil</v>
      </c>
      <c r="G166" s="5" t="str">
        <f>IFERROR(__xludf.DUMMYFUNCTION("""COMPUTED_VALUE"""),"Akuntansi")</f>
        <v>Akuntansi</v>
      </c>
      <c r="H166" s="10" t="str">
        <f>IFERROR(__xludf.DUMMYFUNCTION("""COMPUTED_VALUE"""),"Mahasiswa")</f>
        <v>Mahasiswa</v>
      </c>
      <c r="I166" s="6" t="str">
        <f>IFERROR(__xludf.DUMMYFUNCTION("""COMPUTED_VALUE"""),"Safitri")</f>
        <v>Safitri</v>
      </c>
      <c r="J166" s="6" t="str">
        <f>IFERROR(__xludf.DUMMYFUNCTION("""COMPUTED_VALUE"""),"Pardi")</f>
        <v>Pardi</v>
      </c>
      <c r="K166" s="6"/>
      <c r="L166" s="6"/>
      <c r="M166" s="6"/>
      <c r="N166" s="6"/>
      <c r="O166" s="6"/>
      <c r="P166" s="10" t="str">
        <f>IFERROR(__xludf.DUMMYFUNCTION("""COMPUTED_VALUE"""),"Safitri,Pardi,,")</f>
        <v>Safitri,Pardi,,</v>
      </c>
      <c r="Q166" s="6"/>
      <c r="R166" s="6"/>
    </row>
    <row r="167">
      <c r="A167" s="5">
        <f>IFERROR(__xludf.DUMMYFUNCTION("""COMPUTED_VALUE"""),166.0)</f>
        <v>166</v>
      </c>
      <c r="B167" s="6" t="str">
        <f>IFERROR(__xludf.DUMMYFUNCTION("""COMPUTED_VALUE"""),"PENGARUH EFEKTIVITAS PENERAPAN SIA, KESESUAIAN TUGAS, KEPUASAN KERJA DAN INTELLECTUAL CAPITAL PADA KINERJA KARYAWAN PT BINTANG PUTRA MOBILINDO")</f>
        <v>PENGARUH EFEKTIVITAS PENERAPAN SIA, KESESUAIAN TUGAS, KEPUASAN KERJA DAN INTELLECTUAL CAPITAL PADA KINERJA KARYAWAN PT BINTANG PUTRA MOBILINDO</v>
      </c>
      <c r="C167" s="7">
        <f>IFERROR(__xludf.DUMMYFUNCTION("""COMPUTED_VALUE"""),2021.0)</f>
        <v>2021</v>
      </c>
      <c r="D167" s="8" t="str">
        <f>IFERROR(__xludf.DUMMYFUNCTION("""COMPUTED_VALUE"""),"2021/2022")</f>
        <v>2021/2022</v>
      </c>
      <c r="E167" s="9">
        <f>IFERROR(__xludf.DUMMYFUNCTION("""COMPUTED_VALUE"""),44559.0)</f>
        <v>44559</v>
      </c>
      <c r="F167" s="5" t="str">
        <f>IFERROR(__xludf.DUMMYFUNCTION("""COMPUTED_VALUE"""),"Ganjil")</f>
        <v>Ganjil</v>
      </c>
      <c r="G167" s="5" t="str">
        <f>IFERROR(__xludf.DUMMYFUNCTION("""COMPUTED_VALUE"""),"Akuntansi")</f>
        <v>Akuntansi</v>
      </c>
      <c r="H167" s="10" t="str">
        <f>IFERROR(__xludf.DUMMYFUNCTION("""COMPUTED_VALUE"""),"Mahasiswa")</f>
        <v>Mahasiswa</v>
      </c>
      <c r="I167" s="6" t="str">
        <f>IFERROR(__xludf.DUMMYFUNCTION("""COMPUTED_VALUE"""),"Savira Evita Sari")</f>
        <v>Savira Evita Sari</v>
      </c>
      <c r="J167" s="6" t="str">
        <f>IFERROR(__xludf.DUMMYFUNCTION("""COMPUTED_VALUE"""),"Ismunawan")</f>
        <v>Ismunawan</v>
      </c>
      <c r="K167" s="6"/>
      <c r="L167" s="6"/>
      <c r="M167" s="6"/>
      <c r="N167" s="6"/>
      <c r="O167" s="6"/>
      <c r="P167" s="10" t="str">
        <f>IFERROR(__xludf.DUMMYFUNCTION("""COMPUTED_VALUE"""),"Savira Evita Sari,Ismunawan,,")</f>
        <v>Savira Evita Sari,Ismunawan,,</v>
      </c>
      <c r="Q167" s="6"/>
      <c r="R167" s="6"/>
    </row>
    <row r="168">
      <c r="A168" s="5">
        <f>IFERROR(__xludf.DUMMYFUNCTION("""COMPUTED_VALUE"""),167.0)</f>
        <v>167</v>
      </c>
      <c r="B168" s="6" t="str">
        <f>IFERROR(__xludf.DUMMYFUNCTION("""COMPUTED_VALUE"""),"The Effect of Free Float Ratio and Profitability on Stock Price")</f>
        <v>The Effect of Free Float Ratio and Profitability on Stock Price</v>
      </c>
      <c r="C168" s="7">
        <f>IFERROR(__xludf.DUMMYFUNCTION("""COMPUTED_VALUE"""),2021.0)</f>
        <v>2021</v>
      </c>
      <c r="D168" s="8" t="str">
        <f>IFERROR(__xludf.DUMMYFUNCTION("""COMPUTED_VALUE"""),"2021/2022")</f>
        <v>2021/2022</v>
      </c>
      <c r="E168" s="9">
        <f>IFERROR(__xludf.DUMMYFUNCTION("""COMPUTED_VALUE"""),44559.0)</f>
        <v>44559</v>
      </c>
      <c r="F168" s="5" t="str">
        <f>IFERROR(__xludf.DUMMYFUNCTION("""COMPUTED_VALUE"""),"Ganjil")</f>
        <v>Ganjil</v>
      </c>
      <c r="G168" s="5" t="str">
        <f>IFERROR(__xludf.DUMMYFUNCTION("""COMPUTED_VALUE"""),"Akuntansi")</f>
        <v>Akuntansi</v>
      </c>
      <c r="H168" s="10" t="str">
        <f>IFERROR(__xludf.DUMMYFUNCTION("""COMPUTED_VALUE"""),"Mahasiswa")</f>
        <v>Mahasiswa</v>
      </c>
      <c r="I168" s="6" t="str">
        <f>IFERROR(__xludf.DUMMYFUNCTION("""COMPUTED_VALUE"""),"Wiharti Arum Sari")</f>
        <v>Wiharti Arum Sari</v>
      </c>
      <c r="J168" s="6" t="str">
        <f>IFERROR(__xludf.DUMMYFUNCTION("""COMPUTED_VALUE"""),"Arif Nugroho Rachman")</f>
        <v>Arif Nugroho Rachman</v>
      </c>
      <c r="K168" s="6"/>
      <c r="L168" s="6"/>
      <c r="M168" s="6"/>
      <c r="N168" s="6"/>
      <c r="O168" s="6"/>
      <c r="P168" s="10" t="str">
        <f>IFERROR(__xludf.DUMMYFUNCTION("""COMPUTED_VALUE"""),"Wiharti Arum Sari,Arif Nugroho Rachman,,")</f>
        <v>Wiharti Arum Sari,Arif Nugroho Rachman,,</v>
      </c>
      <c r="Q168" s="11" t="str">
        <f>IFERROR(__xludf.DUMMYFUNCTION("""COMPUTED_VALUE"""),"https://e-journal.unair.ac.id/BAKI/article/view/25500")</f>
        <v>https://e-journal.unair.ac.id/BAKI/article/view/25500</v>
      </c>
      <c r="R168" s="6"/>
    </row>
    <row r="169">
      <c r="A169" s="5">
        <f>IFERROR(__xludf.DUMMYFUNCTION("""COMPUTED_VALUE"""),168.0)</f>
        <v>168</v>
      </c>
      <c r="B169" s="6" t="str">
        <f>IFERROR(__xludf.DUMMYFUNCTION("""COMPUTED_VALUE"""),"PENGARUH GOOD CORPORATE GOVERNANCE TERHADAP KINERJA KEUANGAN PERUSAHAAN OTOMOTIF DAN KOMPONEN YANG TERDAFTAR DI BEI")</f>
        <v>PENGARUH GOOD CORPORATE GOVERNANCE TERHADAP KINERJA KEUANGAN PERUSAHAAN OTOMOTIF DAN KOMPONEN YANG TERDAFTAR DI BEI</v>
      </c>
      <c r="C169" s="7">
        <f>IFERROR(__xludf.DUMMYFUNCTION("""COMPUTED_VALUE"""),2021.0)</f>
        <v>2021</v>
      </c>
      <c r="D169" s="8" t="str">
        <f>IFERROR(__xludf.DUMMYFUNCTION("""COMPUTED_VALUE"""),"2021/2022")</f>
        <v>2021/2022</v>
      </c>
      <c r="E169" s="9">
        <f>IFERROR(__xludf.DUMMYFUNCTION("""COMPUTED_VALUE"""),44559.0)</f>
        <v>44559</v>
      </c>
      <c r="F169" s="5" t="str">
        <f>IFERROR(__xludf.DUMMYFUNCTION("""COMPUTED_VALUE"""),"Ganjil")</f>
        <v>Ganjil</v>
      </c>
      <c r="G169" s="5" t="str">
        <f>IFERROR(__xludf.DUMMYFUNCTION("""COMPUTED_VALUE"""),"Akuntansi")</f>
        <v>Akuntansi</v>
      </c>
      <c r="H169" s="10" t="str">
        <f>IFERROR(__xludf.DUMMYFUNCTION("""COMPUTED_VALUE"""),"Mahasiswa")</f>
        <v>Mahasiswa</v>
      </c>
      <c r="I169" s="6" t="str">
        <f>IFERROR(__xludf.DUMMYFUNCTION("""COMPUTED_VALUE"""),"Kusumaningtyas Kushartanti")</f>
        <v>Kusumaningtyas Kushartanti</v>
      </c>
      <c r="J169" s="6" t="str">
        <f>IFERROR(__xludf.DUMMYFUNCTION("""COMPUTED_VALUE"""),"Eko Triyanto")</f>
        <v>Eko Triyanto</v>
      </c>
      <c r="K169" s="6"/>
      <c r="L169" s="6"/>
      <c r="M169" s="6"/>
      <c r="N169" s="6"/>
      <c r="O169" s="6"/>
      <c r="P169" s="10" t="str">
        <f>IFERROR(__xludf.DUMMYFUNCTION("""COMPUTED_VALUE"""),"Kusumaningtyas Kushartanti,Eko Triyanto,,")</f>
        <v>Kusumaningtyas Kushartanti,Eko Triyanto,,</v>
      </c>
      <c r="Q169" s="6"/>
      <c r="R169" s="6"/>
    </row>
    <row r="170">
      <c r="A170" s="5">
        <f>IFERROR(__xludf.DUMMYFUNCTION("""COMPUTED_VALUE"""),169.0)</f>
        <v>169</v>
      </c>
      <c r="B170" s="6" t="str">
        <f>IFERROR(__xludf.DUMMYFUNCTION("""COMPUTED_VALUE"""),"PENGARUH GOOD CORPORATE GOVERNANCE TERHADAP NILAI PERUSAHAAN YANG TERDAFTAR DI BEI 2017-2019")</f>
        <v>PENGARUH GOOD CORPORATE GOVERNANCE TERHADAP NILAI PERUSAHAAN YANG TERDAFTAR DI BEI 2017-2019</v>
      </c>
      <c r="C170" s="7">
        <f>IFERROR(__xludf.DUMMYFUNCTION("""COMPUTED_VALUE"""),2021.0)</f>
        <v>2021</v>
      </c>
      <c r="D170" s="8" t="str">
        <f>IFERROR(__xludf.DUMMYFUNCTION("""COMPUTED_VALUE"""),"2021/2022")</f>
        <v>2021/2022</v>
      </c>
      <c r="E170" s="9">
        <f>IFERROR(__xludf.DUMMYFUNCTION("""COMPUTED_VALUE"""),44559.0)</f>
        <v>44559</v>
      </c>
      <c r="F170" s="5" t="str">
        <f>IFERROR(__xludf.DUMMYFUNCTION("""COMPUTED_VALUE"""),"Ganjil")</f>
        <v>Ganjil</v>
      </c>
      <c r="G170" s="5" t="str">
        <f>IFERROR(__xludf.DUMMYFUNCTION("""COMPUTED_VALUE"""),"Akuntansi")</f>
        <v>Akuntansi</v>
      </c>
      <c r="H170" s="10" t="str">
        <f>IFERROR(__xludf.DUMMYFUNCTION("""COMPUTED_VALUE"""),"Mahasiswa")</f>
        <v>Mahasiswa</v>
      </c>
      <c r="I170" s="6" t="str">
        <f>IFERROR(__xludf.DUMMYFUNCTION("""COMPUTED_VALUE"""),"Dinda Ayu")</f>
        <v>Dinda Ayu</v>
      </c>
      <c r="J170" s="6" t="str">
        <f>IFERROR(__xludf.DUMMYFUNCTION("""COMPUTED_VALUE"""),"Eko Triyanto")</f>
        <v>Eko Triyanto</v>
      </c>
      <c r="K170" s="6"/>
      <c r="L170" s="6"/>
      <c r="M170" s="6"/>
      <c r="N170" s="6"/>
      <c r="O170" s="6"/>
      <c r="P170" s="10" t="str">
        <f>IFERROR(__xludf.DUMMYFUNCTION("""COMPUTED_VALUE"""),"Dinda Ayu,Eko Triyanto,,")</f>
        <v>Dinda Ayu,Eko Triyanto,,</v>
      </c>
      <c r="Q170" s="6"/>
      <c r="R170" s="6"/>
    </row>
    <row r="171">
      <c r="A171" s="5">
        <f>IFERROR(__xludf.DUMMYFUNCTION("""COMPUTED_VALUE"""),170.0)</f>
        <v>170</v>
      </c>
      <c r="B171" s="6" t="str">
        <f>IFERROR(__xludf.DUMMYFUNCTION("""COMPUTED_VALUE"""),"PENGARUH INFLASI, KURS RUPIAH, SUKU BUNGA, DAN PRODUK DOMESTIK BRUTO TERHADAP RETURN SAHAM (Studi Pada Perusahaan Subsektor Telekomunikasi yang Terdaftar di Bursa Efek Indonesia Periode 2016-2019)")</f>
        <v>PENGARUH INFLASI, KURS RUPIAH, SUKU BUNGA, DAN PRODUK DOMESTIK BRUTO TERHADAP RETURN SAHAM (Studi Pada Perusahaan Subsektor Telekomunikasi yang Terdaftar di Bursa Efek Indonesia Periode 2016-2019)</v>
      </c>
      <c r="C171" s="7">
        <f>IFERROR(__xludf.DUMMYFUNCTION("""COMPUTED_VALUE"""),2021.0)</f>
        <v>2021</v>
      </c>
      <c r="D171" s="8" t="str">
        <f>IFERROR(__xludf.DUMMYFUNCTION("""COMPUTED_VALUE"""),"2021/2022")</f>
        <v>2021/2022</v>
      </c>
      <c r="E171" s="9">
        <f>IFERROR(__xludf.DUMMYFUNCTION("""COMPUTED_VALUE"""),44559.0)</f>
        <v>44559</v>
      </c>
      <c r="F171" s="5" t="str">
        <f>IFERROR(__xludf.DUMMYFUNCTION("""COMPUTED_VALUE"""),"Ganjil")</f>
        <v>Ganjil</v>
      </c>
      <c r="G171" s="5" t="str">
        <f>IFERROR(__xludf.DUMMYFUNCTION("""COMPUTED_VALUE"""),"Akuntansi")</f>
        <v>Akuntansi</v>
      </c>
      <c r="H171" s="10" t="str">
        <f>IFERROR(__xludf.DUMMYFUNCTION("""COMPUTED_VALUE"""),"Mahasiswa")</f>
        <v>Mahasiswa</v>
      </c>
      <c r="I171" s="6" t="str">
        <f>IFERROR(__xludf.DUMMYFUNCTION("""COMPUTED_VALUE"""),"Ardan Dwi Setyawan")</f>
        <v>Ardan Dwi Setyawan</v>
      </c>
      <c r="J171" s="6" t="str">
        <f>IFERROR(__xludf.DUMMYFUNCTION("""COMPUTED_VALUE"""),"Ismunawan")</f>
        <v>Ismunawan</v>
      </c>
      <c r="K171" s="6"/>
      <c r="L171" s="6"/>
      <c r="M171" s="6"/>
      <c r="N171" s="6"/>
      <c r="O171" s="6"/>
      <c r="P171" s="10" t="str">
        <f>IFERROR(__xludf.DUMMYFUNCTION("""COMPUTED_VALUE"""),"Ardan Dwi Setyawan,Ismunawan,,")</f>
        <v>Ardan Dwi Setyawan,Ismunawan,,</v>
      </c>
      <c r="Q171" s="6"/>
      <c r="R171" s="6"/>
    </row>
    <row r="172">
      <c r="A172" s="5">
        <f>IFERROR(__xludf.DUMMYFUNCTION("""COMPUTED_VALUE"""),171.0)</f>
        <v>171</v>
      </c>
      <c r="B172" s="6" t="str">
        <f>IFERROR(__xludf.DUMMYFUNCTION("""COMPUTED_VALUE"""),"PENGARUH JUMLAH ANGGOTA, JUMLAH SIMPANAN ANGGOTA, JUMLAH PINJAMAN ANGGOTA DAN JUMLAH MODAL LUAR TERHADAP SISA HASIL USAHA PADA KOPERASI DI KABUPATEN KOTABARU PROVINSI KALIMANTAN SELATAN TAHUN 2015-2019")</f>
        <v>PENGARUH JUMLAH ANGGOTA, JUMLAH SIMPANAN ANGGOTA, JUMLAH PINJAMAN ANGGOTA DAN JUMLAH MODAL LUAR TERHADAP SISA HASIL USAHA PADA KOPERASI DI KABUPATEN KOTABARU PROVINSI KALIMANTAN SELATAN TAHUN 2015-2019</v>
      </c>
      <c r="C172" s="7">
        <f>IFERROR(__xludf.DUMMYFUNCTION("""COMPUTED_VALUE"""),2021.0)</f>
        <v>2021</v>
      </c>
      <c r="D172" s="8" t="str">
        <f>IFERROR(__xludf.DUMMYFUNCTION("""COMPUTED_VALUE"""),"2021/2022")</f>
        <v>2021/2022</v>
      </c>
      <c r="E172" s="9">
        <f>IFERROR(__xludf.DUMMYFUNCTION("""COMPUTED_VALUE"""),44559.0)</f>
        <v>44559</v>
      </c>
      <c r="F172" s="5" t="str">
        <f>IFERROR(__xludf.DUMMYFUNCTION("""COMPUTED_VALUE"""),"Ganjil")</f>
        <v>Ganjil</v>
      </c>
      <c r="G172" s="5" t="str">
        <f>IFERROR(__xludf.DUMMYFUNCTION("""COMPUTED_VALUE"""),"Akuntansi")</f>
        <v>Akuntansi</v>
      </c>
      <c r="H172" s="10" t="str">
        <f>IFERROR(__xludf.DUMMYFUNCTION("""COMPUTED_VALUE"""),"Mahasiswa")</f>
        <v>Mahasiswa</v>
      </c>
      <c r="I172" s="6" t="str">
        <f>IFERROR(__xludf.DUMMYFUNCTION("""COMPUTED_VALUE"""),"Leni Oktaviani")</f>
        <v>Leni Oktaviani</v>
      </c>
      <c r="J172" s="6" t="str">
        <f>IFERROR(__xludf.DUMMYFUNCTION("""COMPUTED_VALUE"""),"Ismunawan")</f>
        <v>Ismunawan</v>
      </c>
      <c r="K172" s="6"/>
      <c r="L172" s="6"/>
      <c r="M172" s="6"/>
      <c r="N172" s="6"/>
      <c r="O172" s="6"/>
      <c r="P172" s="10" t="str">
        <f>IFERROR(__xludf.DUMMYFUNCTION("""COMPUTED_VALUE"""),"Leni Oktaviani,Ismunawan,,")</f>
        <v>Leni Oktaviani,Ismunawan,,</v>
      </c>
      <c r="Q172" s="6"/>
      <c r="R172" s="6"/>
    </row>
    <row r="173">
      <c r="A173" s="5">
        <f>IFERROR(__xludf.DUMMYFUNCTION("""COMPUTED_VALUE"""),172.0)</f>
        <v>172</v>
      </c>
      <c r="B173" s="6" t="str">
        <f>IFERROR(__xludf.DUMMYFUNCTION("""COMPUTED_VALUE"""),"Pengaruh Kecanggihan Teknologi Informasi, Kemampuan Teknik Pemakai Dan Dukungan Manajemen Puncak Terhadap Kinerja Sistem Informasi Akuntansi (Studi Empiris Pada Pt. Dan Liris)")</f>
        <v>Pengaruh Kecanggihan Teknologi Informasi, Kemampuan Teknik Pemakai Dan Dukungan Manajemen Puncak Terhadap Kinerja Sistem Informasi Akuntansi (Studi Empiris Pada Pt. Dan Liris)</v>
      </c>
      <c r="C173" s="7">
        <f>IFERROR(__xludf.DUMMYFUNCTION("""COMPUTED_VALUE"""),2021.0)</f>
        <v>2021</v>
      </c>
      <c r="D173" s="8" t="str">
        <f>IFERROR(__xludf.DUMMYFUNCTION("""COMPUTED_VALUE"""),"2021/2022")</f>
        <v>2021/2022</v>
      </c>
      <c r="E173" s="9">
        <f>IFERROR(__xludf.DUMMYFUNCTION("""COMPUTED_VALUE"""),44559.0)</f>
        <v>44559</v>
      </c>
      <c r="F173" s="5" t="str">
        <f>IFERROR(__xludf.DUMMYFUNCTION("""COMPUTED_VALUE"""),"Ganjil")</f>
        <v>Ganjil</v>
      </c>
      <c r="G173" s="5" t="str">
        <f>IFERROR(__xludf.DUMMYFUNCTION("""COMPUTED_VALUE"""),"Akuntansi")</f>
        <v>Akuntansi</v>
      </c>
      <c r="H173" s="10" t="str">
        <f>IFERROR(__xludf.DUMMYFUNCTION("""COMPUTED_VALUE"""),"Mahasiswa")</f>
        <v>Mahasiswa</v>
      </c>
      <c r="I173" s="6" t="str">
        <f>IFERROR(__xludf.DUMMYFUNCTION("""COMPUTED_VALUE"""),"Anisa Arum Sari")</f>
        <v>Anisa Arum Sari</v>
      </c>
      <c r="J173" s="6" t="str">
        <f>IFERROR(__xludf.DUMMYFUNCTION("""COMPUTED_VALUE"""),"Nur Kholis")</f>
        <v>Nur Kholis</v>
      </c>
      <c r="K173" s="6"/>
      <c r="L173" s="6"/>
      <c r="M173" s="6"/>
      <c r="N173" s="6"/>
      <c r="O173" s="6"/>
      <c r="P173" s="10" t="str">
        <f>IFERROR(__xludf.DUMMYFUNCTION("""COMPUTED_VALUE"""),"Anisa Arum Sari,Nur Kholis,,")</f>
        <v>Anisa Arum Sari,Nur Kholis,,</v>
      </c>
      <c r="Q173" s="11" t="str">
        <f>IFERROR(__xludf.DUMMYFUNCTION("""COMPUTED_VALUE"""),"https://jurnal.stie-aas.ac.id/index.php/jap/author")</f>
        <v>https://jurnal.stie-aas.ac.id/index.php/jap/author</v>
      </c>
      <c r="R173" s="6"/>
    </row>
    <row r="174">
      <c r="A174" s="5">
        <f>IFERROR(__xludf.DUMMYFUNCTION("""COMPUTED_VALUE"""),173.0)</f>
        <v>173</v>
      </c>
      <c r="B174" s="6" t="str">
        <f>IFERROR(__xludf.DUMMYFUNCTION("""COMPUTED_VALUE"""),"PENGARUH KEMUDAHAN, MANFAAT, DAN MOTIVASI INVESTASI TERHADAP MINAT INVESTASI MAHASISWA DI PASAR MODAL SECARA ONLINE ( Studi Kasus Pada Mahasiswa Program Studi Akuntansi Di Surakarta )")</f>
        <v>PENGARUH KEMUDAHAN, MANFAAT, DAN MOTIVASI INVESTASI TERHADAP MINAT INVESTASI MAHASISWA DI PASAR MODAL SECARA ONLINE ( Studi Kasus Pada Mahasiswa Program Studi Akuntansi Di Surakarta )</v>
      </c>
      <c r="C174" s="7">
        <f>IFERROR(__xludf.DUMMYFUNCTION("""COMPUTED_VALUE"""),2021.0)</f>
        <v>2021</v>
      </c>
      <c r="D174" s="8" t="str">
        <f>IFERROR(__xludf.DUMMYFUNCTION("""COMPUTED_VALUE"""),"2021/2022")</f>
        <v>2021/2022</v>
      </c>
      <c r="E174" s="9">
        <f>IFERROR(__xludf.DUMMYFUNCTION("""COMPUTED_VALUE"""),44559.0)</f>
        <v>44559</v>
      </c>
      <c r="F174" s="5" t="str">
        <f>IFERROR(__xludf.DUMMYFUNCTION("""COMPUTED_VALUE"""),"Ganjil")</f>
        <v>Ganjil</v>
      </c>
      <c r="G174" s="5" t="str">
        <f>IFERROR(__xludf.DUMMYFUNCTION("""COMPUTED_VALUE"""),"Akuntansi")</f>
        <v>Akuntansi</v>
      </c>
      <c r="H174" s="10" t="str">
        <f>IFERROR(__xludf.DUMMYFUNCTION("""COMPUTED_VALUE"""),"Mahasiswa")</f>
        <v>Mahasiswa</v>
      </c>
      <c r="I174" s="6" t="str">
        <f>IFERROR(__xludf.DUMMYFUNCTION("""COMPUTED_VALUE"""),"Vita Mulyasari")</f>
        <v>Vita Mulyasari</v>
      </c>
      <c r="J174" s="6" t="str">
        <f>IFERROR(__xludf.DUMMYFUNCTION("""COMPUTED_VALUE"""),"Nur Kholis")</f>
        <v>Nur Kholis</v>
      </c>
      <c r="K174" s="6"/>
      <c r="L174" s="6"/>
      <c r="M174" s="6"/>
      <c r="N174" s="6"/>
      <c r="O174" s="6"/>
      <c r="P174" s="10" t="str">
        <f>IFERROR(__xludf.DUMMYFUNCTION("""COMPUTED_VALUE"""),"Vita Mulyasari,Nur Kholis,,")</f>
        <v>Vita Mulyasari,Nur Kholis,,</v>
      </c>
      <c r="Q174" s="6"/>
      <c r="R174" s="6"/>
    </row>
    <row r="175">
      <c r="A175" s="5">
        <f>IFERROR(__xludf.DUMMYFUNCTION("""COMPUTED_VALUE"""),174.0)</f>
        <v>174</v>
      </c>
      <c r="B175" s="6" t="str">
        <f>IFERROR(__xludf.DUMMYFUNCTION("""COMPUTED_VALUE"""),"Pengaruh Kesadaran Wajib Pajak, SPPT, Kualitas Pelayanan Pajak, Dan Sanksi Pajak Terhadap Kepatuhan Wajib Pajak Bumi Dan Bangunan Pada Kelurahan Mojolegi")</f>
        <v>Pengaruh Kesadaran Wajib Pajak, SPPT, Kualitas Pelayanan Pajak, Dan Sanksi Pajak Terhadap Kepatuhan Wajib Pajak Bumi Dan Bangunan Pada Kelurahan Mojolegi</v>
      </c>
      <c r="C175" s="7">
        <f>IFERROR(__xludf.DUMMYFUNCTION("""COMPUTED_VALUE"""),2021.0)</f>
        <v>2021</v>
      </c>
      <c r="D175" s="8" t="str">
        <f>IFERROR(__xludf.DUMMYFUNCTION("""COMPUTED_VALUE"""),"2021/2022")</f>
        <v>2021/2022</v>
      </c>
      <c r="E175" s="9">
        <f>IFERROR(__xludf.DUMMYFUNCTION("""COMPUTED_VALUE"""),44559.0)</f>
        <v>44559</v>
      </c>
      <c r="F175" s="5" t="str">
        <f>IFERROR(__xludf.DUMMYFUNCTION("""COMPUTED_VALUE"""),"Ganjil")</f>
        <v>Ganjil</v>
      </c>
      <c r="G175" s="5" t="str">
        <f>IFERROR(__xludf.DUMMYFUNCTION("""COMPUTED_VALUE"""),"Akuntansi")</f>
        <v>Akuntansi</v>
      </c>
      <c r="H175" s="10" t="str">
        <f>IFERROR(__xludf.DUMMYFUNCTION("""COMPUTED_VALUE"""),"Mahasiswa")</f>
        <v>Mahasiswa</v>
      </c>
      <c r="I175" s="6" t="str">
        <f>IFERROR(__xludf.DUMMYFUNCTION("""COMPUTED_VALUE"""),"Lia Mei Yuliyanti")</f>
        <v>Lia Mei Yuliyanti</v>
      </c>
      <c r="J175" s="6" t="str">
        <f>IFERROR(__xludf.DUMMYFUNCTION("""COMPUTED_VALUE"""),"Nur Kholis")</f>
        <v>Nur Kholis</v>
      </c>
      <c r="K175" s="6"/>
      <c r="L175" s="6"/>
      <c r="M175" s="6"/>
      <c r="N175" s="6"/>
      <c r="O175" s="6"/>
      <c r="P175" s="10" t="str">
        <f>IFERROR(__xludf.DUMMYFUNCTION("""COMPUTED_VALUE"""),"Lia Mei Yuliyanti,Nur Kholis,,")</f>
        <v>Lia Mei Yuliyanti,Nur Kholis,,</v>
      </c>
      <c r="Q175" s="6"/>
      <c r="R175" s="6"/>
    </row>
    <row r="176">
      <c r="A176" s="5">
        <f>IFERROR(__xludf.DUMMYFUNCTION("""COMPUTED_VALUE"""),175.0)</f>
        <v>175</v>
      </c>
      <c r="B176" s="6" t="str">
        <f>IFERROR(__xludf.DUMMYFUNCTION("""COMPUTED_VALUE"""),"Pengaruh Kesadaran, Pengetahuan, dan Sanksi Pajak UMKM Terhadap Kepatuhan Wajib Pajak Di Kabupaten Boyolali")</f>
        <v>Pengaruh Kesadaran, Pengetahuan, dan Sanksi Pajak UMKM Terhadap Kepatuhan Wajib Pajak Di Kabupaten Boyolali</v>
      </c>
      <c r="C176" s="7">
        <f>IFERROR(__xludf.DUMMYFUNCTION("""COMPUTED_VALUE"""),2021.0)</f>
        <v>2021</v>
      </c>
      <c r="D176" s="8" t="str">
        <f>IFERROR(__xludf.DUMMYFUNCTION("""COMPUTED_VALUE"""),"2021/2022")</f>
        <v>2021/2022</v>
      </c>
      <c r="E176" s="9">
        <f>IFERROR(__xludf.DUMMYFUNCTION("""COMPUTED_VALUE"""),44559.0)</f>
        <v>44559</v>
      </c>
      <c r="F176" s="5" t="str">
        <f>IFERROR(__xludf.DUMMYFUNCTION("""COMPUTED_VALUE"""),"Ganjil")</f>
        <v>Ganjil</v>
      </c>
      <c r="G176" s="5" t="str">
        <f>IFERROR(__xludf.DUMMYFUNCTION("""COMPUTED_VALUE"""),"Akuntansi")</f>
        <v>Akuntansi</v>
      </c>
      <c r="H176" s="10" t="str">
        <f>IFERROR(__xludf.DUMMYFUNCTION("""COMPUTED_VALUE"""),"Mahasiswa")</f>
        <v>Mahasiswa</v>
      </c>
      <c r="I176" s="6" t="str">
        <f>IFERROR(__xludf.DUMMYFUNCTION("""COMPUTED_VALUE"""),"Sri Lestari")</f>
        <v>Sri Lestari</v>
      </c>
      <c r="J176" s="6" t="str">
        <f>IFERROR(__xludf.DUMMYFUNCTION("""COMPUTED_VALUE"""),"Eko Triyanto")</f>
        <v>Eko Triyanto</v>
      </c>
      <c r="K176" s="6"/>
      <c r="L176" s="6"/>
      <c r="M176" s="6"/>
      <c r="N176" s="6"/>
      <c r="O176" s="6"/>
      <c r="P176" s="10" t="str">
        <f>IFERROR(__xludf.DUMMYFUNCTION("""COMPUTED_VALUE"""),"Sri Lestari,Eko Triyanto,,")</f>
        <v>Sri Lestari,Eko Triyanto,,</v>
      </c>
      <c r="Q176" s="6"/>
      <c r="R176" s="6"/>
    </row>
    <row r="177">
      <c r="A177" s="5">
        <f>IFERROR(__xludf.DUMMYFUNCTION("""COMPUTED_VALUE"""),176.0)</f>
        <v>176</v>
      </c>
      <c r="B177" s="6" t="str">
        <f>IFERROR(__xludf.DUMMYFUNCTION("""COMPUTED_VALUE"""),"PENGARUH KINERJA KEUANGAN TERHADAP HARGA SAHAM PERUSAHAAN MANUFAKTUR YANG TERCATAT DI BURSA EFEK INDONESIA PADA TAHUN 2017 – 2019")</f>
        <v>PENGARUH KINERJA KEUANGAN TERHADAP HARGA SAHAM PERUSAHAAN MANUFAKTUR YANG TERCATAT DI BURSA EFEK INDONESIA PADA TAHUN 2017 – 2019</v>
      </c>
      <c r="C177" s="7">
        <f>IFERROR(__xludf.DUMMYFUNCTION("""COMPUTED_VALUE"""),2021.0)</f>
        <v>2021</v>
      </c>
      <c r="D177" s="8" t="str">
        <f>IFERROR(__xludf.DUMMYFUNCTION("""COMPUTED_VALUE"""),"2021/2022")</f>
        <v>2021/2022</v>
      </c>
      <c r="E177" s="9">
        <f>IFERROR(__xludf.DUMMYFUNCTION("""COMPUTED_VALUE"""),44559.0)</f>
        <v>44559</v>
      </c>
      <c r="F177" s="5" t="str">
        <f>IFERROR(__xludf.DUMMYFUNCTION("""COMPUTED_VALUE"""),"Ganjil")</f>
        <v>Ganjil</v>
      </c>
      <c r="G177" s="5" t="str">
        <f>IFERROR(__xludf.DUMMYFUNCTION("""COMPUTED_VALUE"""),"Akuntansi")</f>
        <v>Akuntansi</v>
      </c>
      <c r="H177" s="10" t="str">
        <f>IFERROR(__xludf.DUMMYFUNCTION("""COMPUTED_VALUE"""),"Mahasiswa")</f>
        <v>Mahasiswa</v>
      </c>
      <c r="I177" s="6" t="str">
        <f>IFERROR(__xludf.DUMMYFUNCTION("""COMPUTED_VALUE"""),"Sri Murni Wahyu Sejati")</f>
        <v>Sri Murni Wahyu Sejati</v>
      </c>
      <c r="J177" s="6" t="str">
        <f>IFERROR(__xludf.DUMMYFUNCTION("""COMPUTED_VALUE"""),"Eko Triyanto")</f>
        <v>Eko Triyanto</v>
      </c>
      <c r="K177" s="6"/>
      <c r="L177" s="6"/>
      <c r="M177" s="6"/>
      <c r="N177" s="6"/>
      <c r="O177" s="6"/>
      <c r="P177" s="10" t="str">
        <f>IFERROR(__xludf.DUMMYFUNCTION("""COMPUTED_VALUE"""),"Sri Murni Wahyu Sejati,Eko Triyanto,,")</f>
        <v>Sri Murni Wahyu Sejati,Eko Triyanto,,</v>
      </c>
      <c r="Q177" s="6"/>
      <c r="R177" s="6"/>
    </row>
    <row r="178">
      <c r="A178" s="5">
        <f>IFERROR(__xludf.DUMMYFUNCTION("""COMPUTED_VALUE"""),177.0)</f>
        <v>177</v>
      </c>
      <c r="B178" s="6" t="str">
        <f>IFERROR(__xludf.DUMMYFUNCTION("""COMPUTED_VALUE"""),"PENGARUH KOMPENSASI, KEPUASAN KERJA, MOTIVASI KERJA DAN GAYA KEPEMIMPINAN TERHADAP KINERJA KARYAWAN")</f>
        <v>PENGARUH KOMPENSASI, KEPUASAN KERJA, MOTIVASI KERJA DAN GAYA KEPEMIMPINAN TERHADAP KINERJA KARYAWAN</v>
      </c>
      <c r="C178" s="7">
        <f>IFERROR(__xludf.DUMMYFUNCTION("""COMPUTED_VALUE"""),2021.0)</f>
        <v>2021</v>
      </c>
      <c r="D178" s="8" t="str">
        <f>IFERROR(__xludf.DUMMYFUNCTION("""COMPUTED_VALUE"""),"2021/2022")</f>
        <v>2021/2022</v>
      </c>
      <c r="E178" s="9">
        <f>IFERROR(__xludf.DUMMYFUNCTION("""COMPUTED_VALUE"""),44559.0)</f>
        <v>44559</v>
      </c>
      <c r="F178" s="5" t="str">
        <f>IFERROR(__xludf.DUMMYFUNCTION("""COMPUTED_VALUE"""),"Ganjil")</f>
        <v>Ganjil</v>
      </c>
      <c r="G178" s="5" t="str">
        <f>IFERROR(__xludf.DUMMYFUNCTION("""COMPUTED_VALUE"""),"Akuntansi")</f>
        <v>Akuntansi</v>
      </c>
      <c r="H178" s="10" t="str">
        <f>IFERROR(__xludf.DUMMYFUNCTION("""COMPUTED_VALUE"""),"Mahasiswa")</f>
        <v>Mahasiswa</v>
      </c>
      <c r="I178" s="6" t="str">
        <f>IFERROR(__xludf.DUMMYFUNCTION("""COMPUTED_VALUE"""),"Lilis Septiningtyas")</f>
        <v>Lilis Septiningtyas</v>
      </c>
      <c r="J178" s="6" t="str">
        <f>IFERROR(__xludf.DUMMYFUNCTION("""COMPUTED_VALUE"""),"Ismunawan")</f>
        <v>Ismunawan</v>
      </c>
      <c r="K178" s="6"/>
      <c r="L178" s="6"/>
      <c r="M178" s="6"/>
      <c r="N178" s="6"/>
      <c r="O178" s="6"/>
      <c r="P178" s="10" t="str">
        <f>IFERROR(__xludf.DUMMYFUNCTION("""COMPUTED_VALUE"""),"Lilis Septiningtyas,Ismunawan,,")</f>
        <v>Lilis Septiningtyas,Ismunawan,,</v>
      </c>
      <c r="Q178" s="6"/>
      <c r="R178" s="6"/>
    </row>
    <row r="179">
      <c r="A179" s="5">
        <f>IFERROR(__xludf.DUMMYFUNCTION("""COMPUTED_VALUE"""),178.0)</f>
        <v>178</v>
      </c>
      <c r="B179" s="6" t="str">
        <f>IFERROR(__xludf.DUMMYFUNCTION("""COMPUTED_VALUE"""),"PENGARUH LOAN TO DEPOSIT RATIO (LDR), NET PROFIT MARGIN (NPM), DAN DEPT TO EQUITY RATIO (DER) TERHADAP PERTUMBUHAN LABA (Studi Kasus Pada Bank Umum Syariah Yang Terdaftar Di Bursa Efek Indonesia Periode Tahun 2015-2019)")</f>
        <v>PENGARUH LOAN TO DEPOSIT RATIO (LDR), NET PROFIT MARGIN (NPM), DAN DEPT TO EQUITY RATIO (DER) TERHADAP PERTUMBUHAN LABA (Studi Kasus Pada Bank Umum Syariah Yang Terdaftar Di Bursa Efek Indonesia Periode Tahun 2015-2019)</v>
      </c>
      <c r="C179" s="7">
        <f>IFERROR(__xludf.DUMMYFUNCTION("""COMPUTED_VALUE"""),2021.0)</f>
        <v>2021</v>
      </c>
      <c r="D179" s="8" t="str">
        <f>IFERROR(__xludf.DUMMYFUNCTION("""COMPUTED_VALUE"""),"2021/2022")</f>
        <v>2021/2022</v>
      </c>
      <c r="E179" s="9">
        <f>IFERROR(__xludf.DUMMYFUNCTION("""COMPUTED_VALUE"""),44559.0)</f>
        <v>44559</v>
      </c>
      <c r="F179" s="5" t="str">
        <f>IFERROR(__xludf.DUMMYFUNCTION("""COMPUTED_VALUE"""),"Ganjil")</f>
        <v>Ganjil</v>
      </c>
      <c r="G179" s="5" t="str">
        <f>IFERROR(__xludf.DUMMYFUNCTION("""COMPUTED_VALUE"""),"Akuntansi")</f>
        <v>Akuntansi</v>
      </c>
      <c r="H179" s="10" t="str">
        <f>IFERROR(__xludf.DUMMYFUNCTION("""COMPUTED_VALUE"""),"Mahasiswa")</f>
        <v>Mahasiswa</v>
      </c>
      <c r="I179" s="6" t="str">
        <f>IFERROR(__xludf.DUMMYFUNCTION("""COMPUTED_VALUE"""),"Yossi Margarita")</f>
        <v>Yossi Margarita</v>
      </c>
      <c r="J179" s="6" t="str">
        <f>IFERROR(__xludf.DUMMYFUNCTION("""COMPUTED_VALUE"""),"Nur Kholis")</f>
        <v>Nur Kholis</v>
      </c>
      <c r="K179" s="6"/>
      <c r="L179" s="6"/>
      <c r="M179" s="6"/>
      <c r="N179" s="6"/>
      <c r="O179" s="6"/>
      <c r="P179" s="10" t="str">
        <f>IFERROR(__xludf.DUMMYFUNCTION("""COMPUTED_VALUE"""),"Yossi Margarita,Nur Kholis,,")</f>
        <v>Yossi Margarita,Nur Kholis,,</v>
      </c>
      <c r="Q179" s="11" t="str">
        <f>IFERROR(__xludf.DUMMYFUNCTION("""COMPUTED_VALUE"""),"https://journal.umy.ac.id/index.php/rab/article/view/11409")</f>
        <v>https://journal.umy.ac.id/index.php/rab/article/view/11409</v>
      </c>
      <c r="R179" s="6"/>
    </row>
    <row r="180">
      <c r="A180" s="5">
        <f>IFERROR(__xludf.DUMMYFUNCTION("""COMPUTED_VALUE"""),179.0)</f>
        <v>179</v>
      </c>
      <c r="B180" s="6" t="str">
        <f>IFERROR(__xludf.DUMMYFUNCTION("""COMPUTED_VALUE"""),"Pengaruh Manajemen Laba, Capital Intensity dan Leverage Terhadap Agresivitas Pajak")</f>
        <v>Pengaruh Manajemen Laba, Capital Intensity dan Leverage Terhadap Agresivitas Pajak</v>
      </c>
      <c r="C180" s="7">
        <f>IFERROR(__xludf.DUMMYFUNCTION("""COMPUTED_VALUE"""),2021.0)</f>
        <v>2021</v>
      </c>
      <c r="D180" s="8" t="str">
        <f>IFERROR(__xludf.DUMMYFUNCTION("""COMPUTED_VALUE"""),"2021/2022")</f>
        <v>2021/2022</v>
      </c>
      <c r="E180" s="9">
        <f>IFERROR(__xludf.DUMMYFUNCTION("""COMPUTED_VALUE"""),44559.0)</f>
        <v>44559</v>
      </c>
      <c r="F180" s="5" t="str">
        <f>IFERROR(__xludf.DUMMYFUNCTION("""COMPUTED_VALUE"""),"Ganjil")</f>
        <v>Ganjil</v>
      </c>
      <c r="G180" s="5" t="str">
        <f>IFERROR(__xludf.DUMMYFUNCTION("""COMPUTED_VALUE"""),"Akuntansi")</f>
        <v>Akuntansi</v>
      </c>
      <c r="H180" s="10" t="str">
        <f>IFERROR(__xludf.DUMMYFUNCTION("""COMPUTED_VALUE"""),"Mahasiswa")</f>
        <v>Mahasiswa</v>
      </c>
      <c r="I180" s="6" t="str">
        <f>IFERROR(__xludf.DUMMYFUNCTION("""COMPUTED_VALUE"""),"Diah Sasi Retno G")</f>
        <v>Diah Sasi Retno G</v>
      </c>
      <c r="J180" s="6" t="str">
        <f>IFERROR(__xludf.DUMMYFUNCTION("""COMPUTED_VALUE"""),"Nur Kholis")</f>
        <v>Nur Kholis</v>
      </c>
      <c r="K180" s="6"/>
      <c r="L180" s="6"/>
      <c r="M180" s="6"/>
      <c r="N180" s="6"/>
      <c r="O180" s="6"/>
      <c r="P180" s="10" t="str">
        <f>IFERROR(__xludf.DUMMYFUNCTION("""COMPUTED_VALUE"""),"Diah Sasi Retno G,Nur Kholis,,")</f>
        <v>Diah Sasi Retno G,Nur Kholis,,</v>
      </c>
      <c r="Q180" s="6"/>
      <c r="R180" s="6"/>
    </row>
    <row r="181">
      <c r="A181" s="5">
        <f>IFERROR(__xludf.DUMMYFUNCTION("""COMPUTED_VALUE"""),180.0)</f>
        <v>180</v>
      </c>
      <c r="B181" s="6" t="str">
        <f>IFERROR(__xludf.DUMMYFUNCTION("""COMPUTED_VALUE"""),"PENGARUH MODAL USAHA, TENAGA KERJA, PENDIDIKAN DAN TEKNOLOGI TERHADAP PENDAPATAN UMKM SEKTOR KONVEKSI DI DUKUH GATAK")</f>
        <v>PENGARUH MODAL USAHA, TENAGA KERJA, PENDIDIKAN DAN TEKNOLOGI TERHADAP PENDAPATAN UMKM SEKTOR KONVEKSI DI DUKUH GATAK</v>
      </c>
      <c r="C181" s="7">
        <f>IFERROR(__xludf.DUMMYFUNCTION("""COMPUTED_VALUE"""),2021.0)</f>
        <v>2021</v>
      </c>
      <c r="D181" s="8" t="str">
        <f>IFERROR(__xludf.DUMMYFUNCTION("""COMPUTED_VALUE"""),"2021/2022")</f>
        <v>2021/2022</v>
      </c>
      <c r="E181" s="9">
        <f>IFERROR(__xludf.DUMMYFUNCTION("""COMPUTED_VALUE"""),44559.0)</f>
        <v>44559</v>
      </c>
      <c r="F181" s="5" t="str">
        <f>IFERROR(__xludf.DUMMYFUNCTION("""COMPUTED_VALUE"""),"Ganjil")</f>
        <v>Ganjil</v>
      </c>
      <c r="G181" s="5" t="str">
        <f>IFERROR(__xludf.DUMMYFUNCTION("""COMPUTED_VALUE"""),"Akuntansi")</f>
        <v>Akuntansi</v>
      </c>
      <c r="H181" s="10" t="str">
        <f>IFERROR(__xludf.DUMMYFUNCTION("""COMPUTED_VALUE"""),"Mahasiswa")</f>
        <v>Mahasiswa</v>
      </c>
      <c r="I181" s="6" t="str">
        <f>IFERROR(__xludf.DUMMYFUNCTION("""COMPUTED_VALUE"""),"Andreas Mahendra")</f>
        <v>Andreas Mahendra</v>
      </c>
      <c r="J181" s="6" t="str">
        <f>IFERROR(__xludf.DUMMYFUNCTION("""COMPUTED_VALUE"""),"Ismunawan")</f>
        <v>Ismunawan</v>
      </c>
      <c r="K181" s="6"/>
      <c r="L181" s="6"/>
      <c r="M181" s="6"/>
      <c r="N181" s="6"/>
      <c r="O181" s="6"/>
      <c r="P181" s="10" t="str">
        <f>IFERROR(__xludf.DUMMYFUNCTION("""COMPUTED_VALUE"""),"Andreas Mahendra,Ismunawan,,")</f>
        <v>Andreas Mahendra,Ismunawan,,</v>
      </c>
      <c r="Q181" s="6"/>
      <c r="R181" s="6"/>
    </row>
    <row r="182">
      <c r="A182" s="5">
        <f>IFERROR(__xludf.DUMMYFUNCTION("""COMPUTED_VALUE"""),181.0)</f>
        <v>181</v>
      </c>
      <c r="B182" s="6" t="str">
        <f>IFERROR(__xludf.DUMMYFUNCTION("""COMPUTED_VALUE"""),"Pengaruh Net Profit Margin, Good Corparate Governance Dan Return On Asset TerhadapPertumbuhanLaba (StudiKasus pada SektorPerbankan di Indonesia yang Terdaftar Pada BEI Periode 2016-2019)")</f>
        <v>Pengaruh Net Profit Margin, Good Corparate Governance Dan Return On Asset TerhadapPertumbuhanLaba (StudiKasus pada SektorPerbankan di Indonesia yang Terdaftar Pada BEI Periode 2016-2019)</v>
      </c>
      <c r="C182" s="7">
        <f>IFERROR(__xludf.DUMMYFUNCTION("""COMPUTED_VALUE"""),2021.0)</f>
        <v>2021</v>
      </c>
      <c r="D182" s="8" t="str">
        <f>IFERROR(__xludf.DUMMYFUNCTION("""COMPUTED_VALUE"""),"2021/2022")</f>
        <v>2021/2022</v>
      </c>
      <c r="E182" s="9">
        <f>IFERROR(__xludf.DUMMYFUNCTION("""COMPUTED_VALUE"""),44559.0)</f>
        <v>44559</v>
      </c>
      <c r="F182" s="5" t="str">
        <f>IFERROR(__xludf.DUMMYFUNCTION("""COMPUTED_VALUE"""),"Ganjil")</f>
        <v>Ganjil</v>
      </c>
      <c r="G182" s="5" t="str">
        <f>IFERROR(__xludf.DUMMYFUNCTION("""COMPUTED_VALUE"""),"Akuntansi")</f>
        <v>Akuntansi</v>
      </c>
      <c r="H182" s="10" t="str">
        <f>IFERROR(__xludf.DUMMYFUNCTION("""COMPUTED_VALUE"""),"Mahasiswa")</f>
        <v>Mahasiswa</v>
      </c>
      <c r="I182" s="6" t="str">
        <f>IFERROR(__xludf.DUMMYFUNCTION("""COMPUTED_VALUE"""),"Riswanti Yuni Astuti")</f>
        <v>Riswanti Yuni Astuti</v>
      </c>
      <c r="J182" s="6" t="str">
        <f>IFERROR(__xludf.DUMMYFUNCTION("""COMPUTED_VALUE"""),"Eko Triyanto")</f>
        <v>Eko Triyanto</v>
      </c>
      <c r="K182" s="6"/>
      <c r="L182" s="6"/>
      <c r="M182" s="6"/>
      <c r="N182" s="6"/>
      <c r="O182" s="6"/>
      <c r="P182" s="10" t="str">
        <f>IFERROR(__xludf.DUMMYFUNCTION("""COMPUTED_VALUE"""),"Riswanti Yuni Astuti,Eko Triyanto,,")</f>
        <v>Riswanti Yuni Astuti,Eko Triyanto,,</v>
      </c>
      <c r="Q182" s="6"/>
      <c r="R182" s="6"/>
    </row>
    <row r="183">
      <c r="A183" s="5">
        <f>IFERROR(__xludf.DUMMYFUNCTION("""COMPUTED_VALUE"""),182.0)</f>
        <v>182</v>
      </c>
      <c r="B183" s="6" t="str">
        <f>IFERROR(__xludf.DUMMYFUNCTION("""COMPUTED_VALUE"""),"Pengaruh Pemahaman Tarif Pajak, Omset, Sanksi Perpajakan Dan Mekanisme E-Filling Terhadap Kepatuhan Wajib Pajak Pada Industri Furniture Di Boyolali")</f>
        <v>Pengaruh Pemahaman Tarif Pajak, Omset, Sanksi Perpajakan Dan Mekanisme E-Filling Terhadap Kepatuhan Wajib Pajak Pada Industri Furniture Di Boyolali</v>
      </c>
      <c r="C183" s="7">
        <f>IFERROR(__xludf.DUMMYFUNCTION("""COMPUTED_VALUE"""),2021.0)</f>
        <v>2021</v>
      </c>
      <c r="D183" s="8" t="str">
        <f>IFERROR(__xludf.DUMMYFUNCTION("""COMPUTED_VALUE"""),"2021/2022")</f>
        <v>2021/2022</v>
      </c>
      <c r="E183" s="9">
        <f>IFERROR(__xludf.DUMMYFUNCTION("""COMPUTED_VALUE"""),44559.0)</f>
        <v>44559</v>
      </c>
      <c r="F183" s="5" t="str">
        <f>IFERROR(__xludf.DUMMYFUNCTION("""COMPUTED_VALUE"""),"Ganjil")</f>
        <v>Ganjil</v>
      </c>
      <c r="G183" s="5" t="str">
        <f>IFERROR(__xludf.DUMMYFUNCTION("""COMPUTED_VALUE"""),"Akuntansi")</f>
        <v>Akuntansi</v>
      </c>
      <c r="H183" s="10" t="str">
        <f>IFERROR(__xludf.DUMMYFUNCTION("""COMPUTED_VALUE"""),"Mahasiswa")</f>
        <v>Mahasiswa</v>
      </c>
      <c r="I183" s="6" t="str">
        <f>IFERROR(__xludf.DUMMYFUNCTION("""COMPUTED_VALUE"""),"Anisa Dwi Rahmadhani")</f>
        <v>Anisa Dwi Rahmadhani</v>
      </c>
      <c r="J183" s="6" t="str">
        <f>IFERROR(__xludf.DUMMYFUNCTION("""COMPUTED_VALUE"""),"Nur Kholis")</f>
        <v>Nur Kholis</v>
      </c>
      <c r="K183" s="6"/>
      <c r="L183" s="6"/>
      <c r="M183" s="6"/>
      <c r="N183" s="6"/>
      <c r="O183" s="6"/>
      <c r="P183" s="10" t="str">
        <f>IFERROR(__xludf.DUMMYFUNCTION("""COMPUTED_VALUE"""),"Anisa Dwi Rahmadhani,Nur Kholis,,")</f>
        <v>Anisa Dwi Rahmadhani,Nur Kholis,,</v>
      </c>
      <c r="Q183" s="6"/>
      <c r="R183" s="6"/>
    </row>
    <row r="184">
      <c r="A184" s="5">
        <f>IFERROR(__xludf.DUMMYFUNCTION("""COMPUTED_VALUE"""),183.0)</f>
        <v>183</v>
      </c>
      <c r="B184" s="6" t="str">
        <f>IFERROR(__xludf.DUMMYFUNCTION("""COMPUTED_VALUE"""),"PENGARUH PEMANFAATAN APLIKASI GO-FOOD TERHADAP PENDAPATAN UMKM KULINER DI SUKOHARJO")</f>
        <v>PENGARUH PEMANFAATAN APLIKASI GO-FOOD TERHADAP PENDAPATAN UMKM KULINER DI SUKOHARJO</v>
      </c>
      <c r="C184" s="7">
        <f>IFERROR(__xludf.DUMMYFUNCTION("""COMPUTED_VALUE"""),2021.0)</f>
        <v>2021</v>
      </c>
      <c r="D184" s="8" t="str">
        <f>IFERROR(__xludf.DUMMYFUNCTION("""COMPUTED_VALUE"""),"2021/2022")</f>
        <v>2021/2022</v>
      </c>
      <c r="E184" s="9">
        <f>IFERROR(__xludf.DUMMYFUNCTION("""COMPUTED_VALUE"""),44559.0)</f>
        <v>44559</v>
      </c>
      <c r="F184" s="5" t="str">
        <f>IFERROR(__xludf.DUMMYFUNCTION("""COMPUTED_VALUE"""),"Ganjil")</f>
        <v>Ganjil</v>
      </c>
      <c r="G184" s="5" t="str">
        <f>IFERROR(__xludf.DUMMYFUNCTION("""COMPUTED_VALUE"""),"Akuntansi")</f>
        <v>Akuntansi</v>
      </c>
      <c r="H184" s="10" t="str">
        <f>IFERROR(__xludf.DUMMYFUNCTION("""COMPUTED_VALUE"""),"Mahasiswa")</f>
        <v>Mahasiswa</v>
      </c>
      <c r="I184" s="6" t="str">
        <f>IFERROR(__xludf.DUMMYFUNCTION("""COMPUTED_VALUE"""),"Lita Sulistyo")</f>
        <v>Lita Sulistyo</v>
      </c>
      <c r="J184" s="6" t="str">
        <f>IFERROR(__xludf.DUMMYFUNCTION("""COMPUTED_VALUE"""),"Pardi")</f>
        <v>Pardi</v>
      </c>
      <c r="K184" s="6"/>
      <c r="L184" s="6"/>
      <c r="M184" s="6"/>
      <c r="N184" s="6"/>
      <c r="O184" s="6"/>
      <c r="P184" s="10" t="str">
        <f>IFERROR(__xludf.DUMMYFUNCTION("""COMPUTED_VALUE"""),"Lita Sulistyo,Pardi,,")</f>
        <v>Lita Sulistyo,Pardi,,</v>
      </c>
      <c r="Q184" s="6"/>
      <c r="R184" s="6"/>
    </row>
    <row r="185">
      <c r="A185" s="5">
        <f>IFERROR(__xludf.DUMMYFUNCTION("""COMPUTED_VALUE"""),184.0)</f>
        <v>184</v>
      </c>
      <c r="B185" s="6" t="str">
        <f>IFERROR(__xludf.DUMMYFUNCTION("""COMPUTED_VALUE"""),"PENGARUH PENCATATAN AKUNTANSI PADA UMKM ONLINE SURAKARTA")</f>
        <v>PENGARUH PENCATATAN AKUNTANSI PADA UMKM ONLINE SURAKARTA</v>
      </c>
      <c r="C185" s="7">
        <f>IFERROR(__xludf.DUMMYFUNCTION("""COMPUTED_VALUE"""),2021.0)</f>
        <v>2021</v>
      </c>
      <c r="D185" s="8" t="str">
        <f>IFERROR(__xludf.DUMMYFUNCTION("""COMPUTED_VALUE"""),"2021/2022")</f>
        <v>2021/2022</v>
      </c>
      <c r="E185" s="9">
        <f>IFERROR(__xludf.DUMMYFUNCTION("""COMPUTED_VALUE"""),44559.0)</f>
        <v>44559</v>
      </c>
      <c r="F185" s="5" t="str">
        <f>IFERROR(__xludf.DUMMYFUNCTION("""COMPUTED_VALUE"""),"Ganjil")</f>
        <v>Ganjil</v>
      </c>
      <c r="G185" s="5" t="str">
        <f>IFERROR(__xludf.DUMMYFUNCTION("""COMPUTED_VALUE"""),"Akuntansi")</f>
        <v>Akuntansi</v>
      </c>
      <c r="H185" s="10" t="str">
        <f>IFERROR(__xludf.DUMMYFUNCTION("""COMPUTED_VALUE"""),"Mahasiswa")</f>
        <v>Mahasiswa</v>
      </c>
      <c r="I185" s="6" t="str">
        <f>IFERROR(__xludf.DUMMYFUNCTION("""COMPUTED_VALUE"""),"Febriana Shinta")</f>
        <v>Febriana Shinta</v>
      </c>
      <c r="J185" s="6" t="str">
        <f>IFERROR(__xludf.DUMMYFUNCTION("""COMPUTED_VALUE"""),"Nur Kholis")</f>
        <v>Nur Kholis</v>
      </c>
      <c r="K185" s="6"/>
      <c r="L185" s="6"/>
      <c r="M185" s="6"/>
      <c r="N185" s="6"/>
      <c r="O185" s="6"/>
      <c r="P185" s="10" t="str">
        <f>IFERROR(__xludf.DUMMYFUNCTION("""COMPUTED_VALUE"""),"Febriana Shinta,Nur Kholis,,")</f>
        <v>Febriana Shinta,Nur Kholis,,</v>
      </c>
      <c r="Q185" s="6"/>
      <c r="R185" s="6"/>
    </row>
    <row r="186">
      <c r="A186" s="5">
        <f>IFERROR(__xludf.DUMMYFUNCTION("""COMPUTED_VALUE"""),185.0)</f>
        <v>185</v>
      </c>
      <c r="B186" s="6" t="str">
        <f>IFERROR(__xludf.DUMMYFUNCTION("""COMPUTED_VALUE"""),"PENGARUH PENDAPATAN ASLI DAERAH, DANA BERIMBANG, BELANJA MODAL DAN INDEKS PEMBANGUNAN MANUSIA TERHADAP PERTUMBUHAN EKONOMI")</f>
        <v>PENGARUH PENDAPATAN ASLI DAERAH, DANA BERIMBANG, BELANJA MODAL DAN INDEKS PEMBANGUNAN MANUSIA TERHADAP PERTUMBUHAN EKONOMI</v>
      </c>
      <c r="C186" s="7">
        <f>IFERROR(__xludf.DUMMYFUNCTION("""COMPUTED_VALUE"""),2021.0)</f>
        <v>2021</v>
      </c>
      <c r="D186" s="8" t="str">
        <f>IFERROR(__xludf.DUMMYFUNCTION("""COMPUTED_VALUE"""),"2021/2022")</f>
        <v>2021/2022</v>
      </c>
      <c r="E186" s="9">
        <f>IFERROR(__xludf.DUMMYFUNCTION("""COMPUTED_VALUE"""),44559.0)</f>
        <v>44559</v>
      </c>
      <c r="F186" s="5" t="str">
        <f>IFERROR(__xludf.DUMMYFUNCTION("""COMPUTED_VALUE"""),"Ganjil")</f>
        <v>Ganjil</v>
      </c>
      <c r="G186" s="5" t="str">
        <f>IFERROR(__xludf.DUMMYFUNCTION("""COMPUTED_VALUE"""),"Akuntansi")</f>
        <v>Akuntansi</v>
      </c>
      <c r="H186" s="10" t="str">
        <f>IFERROR(__xludf.DUMMYFUNCTION("""COMPUTED_VALUE"""),"Mahasiswa")</f>
        <v>Mahasiswa</v>
      </c>
      <c r="I186" s="6" t="str">
        <f>IFERROR(__xludf.DUMMYFUNCTION("""COMPUTED_VALUE"""),"Lia Febriana K")</f>
        <v>Lia Febriana K</v>
      </c>
      <c r="J186" s="6" t="str">
        <f>IFERROR(__xludf.DUMMYFUNCTION("""COMPUTED_VALUE"""),"Eko Triyanto")</f>
        <v>Eko Triyanto</v>
      </c>
      <c r="K186" s="6"/>
      <c r="L186" s="6"/>
      <c r="M186" s="6"/>
      <c r="N186" s="6"/>
      <c r="O186" s="6"/>
      <c r="P186" s="10" t="str">
        <f>IFERROR(__xludf.DUMMYFUNCTION("""COMPUTED_VALUE"""),"Lia Febriana K,Eko Triyanto,,")</f>
        <v>Lia Febriana K,Eko Triyanto,,</v>
      </c>
      <c r="Q186" s="6"/>
      <c r="R186" s="6"/>
    </row>
    <row r="187">
      <c r="A187" s="5">
        <f>IFERROR(__xludf.DUMMYFUNCTION("""COMPUTED_VALUE"""),186.0)</f>
        <v>186</v>
      </c>
      <c r="B187" s="6" t="str">
        <f>IFERROR(__xludf.DUMMYFUNCTION("""COMPUTED_VALUE"""),"Departmen Of Income, Socialization, Taxpayer Awareness, And Tax Sanction Toward Compliance Land And Building Tax Payment At Dukuh Pengkol")</f>
        <v>Departmen Of Income, Socialization, Taxpayer Awareness, And Tax Sanction Toward Compliance Land And Building Tax Payment At Dukuh Pengkol</v>
      </c>
      <c r="C187" s="7">
        <f>IFERROR(__xludf.DUMMYFUNCTION("""COMPUTED_VALUE"""),2021.0)</f>
        <v>2021</v>
      </c>
      <c r="D187" s="8" t="str">
        <f>IFERROR(__xludf.DUMMYFUNCTION("""COMPUTED_VALUE"""),"2021/2022")</f>
        <v>2021/2022</v>
      </c>
      <c r="E187" s="9">
        <f>IFERROR(__xludf.DUMMYFUNCTION("""COMPUTED_VALUE"""),44559.0)</f>
        <v>44559</v>
      </c>
      <c r="F187" s="5" t="str">
        <f>IFERROR(__xludf.DUMMYFUNCTION("""COMPUTED_VALUE"""),"Ganjil")</f>
        <v>Ganjil</v>
      </c>
      <c r="G187" s="5" t="str">
        <f>IFERROR(__xludf.DUMMYFUNCTION("""COMPUTED_VALUE"""),"Akuntansi")</f>
        <v>Akuntansi</v>
      </c>
      <c r="H187" s="10" t="str">
        <f>IFERROR(__xludf.DUMMYFUNCTION("""COMPUTED_VALUE"""),"Mahasiswa")</f>
        <v>Mahasiswa</v>
      </c>
      <c r="I187" s="6" t="str">
        <f>IFERROR(__xludf.DUMMYFUNCTION("""COMPUTED_VALUE"""),"Oceania Andika Putri")</f>
        <v>Oceania Andika Putri</v>
      </c>
      <c r="J187" s="6" t="str">
        <f>IFERROR(__xludf.DUMMYFUNCTION("""COMPUTED_VALUE"""),"Ismunawan")</f>
        <v>Ismunawan</v>
      </c>
      <c r="K187" s="6"/>
      <c r="L187" s="6"/>
      <c r="M187" s="6"/>
      <c r="N187" s="6"/>
      <c r="O187" s="6"/>
      <c r="P187" s="10" t="str">
        <f>IFERROR(__xludf.DUMMYFUNCTION("""COMPUTED_VALUE"""),"Oceania Andika Putri,Ismunawan,,")</f>
        <v>Oceania Andika Putri,Ismunawan,,</v>
      </c>
      <c r="Q187" s="6"/>
      <c r="R187" s="6"/>
    </row>
    <row r="188">
      <c r="A188" s="5">
        <f>IFERROR(__xludf.DUMMYFUNCTION("""COMPUTED_VALUE"""),187.0)</f>
        <v>187</v>
      </c>
      <c r="B188" s="6" t="str">
        <f>IFERROR(__xludf.DUMMYFUNCTION("""COMPUTED_VALUE"""),"PENGARUH PENERIMAANRETRIBUSI DAERAHTERHADAP PENDAPATAN ASLI DAERAHKABUPATEN SUKOHARJO TAHUN 2015-2019")</f>
        <v>PENGARUH PENERIMAANRETRIBUSI DAERAHTERHADAP PENDAPATAN ASLI DAERAHKABUPATEN SUKOHARJO TAHUN 2015-2019</v>
      </c>
      <c r="C188" s="7">
        <f>IFERROR(__xludf.DUMMYFUNCTION("""COMPUTED_VALUE"""),2021.0)</f>
        <v>2021</v>
      </c>
      <c r="D188" s="8" t="str">
        <f>IFERROR(__xludf.DUMMYFUNCTION("""COMPUTED_VALUE"""),"2021/2022")</f>
        <v>2021/2022</v>
      </c>
      <c r="E188" s="9">
        <f>IFERROR(__xludf.DUMMYFUNCTION("""COMPUTED_VALUE"""),44559.0)</f>
        <v>44559</v>
      </c>
      <c r="F188" s="5" t="str">
        <f>IFERROR(__xludf.DUMMYFUNCTION("""COMPUTED_VALUE"""),"Ganjil")</f>
        <v>Ganjil</v>
      </c>
      <c r="G188" s="5" t="str">
        <f>IFERROR(__xludf.DUMMYFUNCTION("""COMPUTED_VALUE"""),"Akuntansi")</f>
        <v>Akuntansi</v>
      </c>
      <c r="H188" s="10" t="str">
        <f>IFERROR(__xludf.DUMMYFUNCTION("""COMPUTED_VALUE"""),"Mahasiswa")</f>
        <v>Mahasiswa</v>
      </c>
      <c r="I188" s="6" t="str">
        <f>IFERROR(__xludf.DUMMYFUNCTION("""COMPUTED_VALUE"""),"Guzamty Anggun Saputri")</f>
        <v>Guzamty Anggun Saputri</v>
      </c>
      <c r="J188" s="6" t="str">
        <f>IFERROR(__xludf.DUMMYFUNCTION("""COMPUTED_VALUE"""),"Arif Nugroho Rachman")</f>
        <v>Arif Nugroho Rachman</v>
      </c>
      <c r="K188" s="6"/>
      <c r="L188" s="6"/>
      <c r="M188" s="6"/>
      <c r="N188" s="6"/>
      <c r="O188" s="6"/>
      <c r="P188" s="10" t="str">
        <f>IFERROR(__xludf.DUMMYFUNCTION("""COMPUTED_VALUE"""),"Guzamty Anggun Saputri,Arif Nugroho Rachman,,")</f>
        <v>Guzamty Anggun Saputri,Arif Nugroho Rachman,,</v>
      </c>
      <c r="Q188" s="6"/>
      <c r="R188" s="6"/>
    </row>
    <row r="189">
      <c r="A189" s="5">
        <f>IFERROR(__xludf.DUMMYFUNCTION("""COMPUTED_VALUE"""),188.0)</f>
        <v>188</v>
      </c>
      <c r="B189" s="6" t="str">
        <f>IFERROR(__xludf.DUMMYFUNCTION("""COMPUTED_VALUE"""),"Pengaruh Pengendalian Internal, Pemanfaatan Teknologi Informasi Akuntansi dan Sumber Daya Manusia Terhadap Kualitas Laporan Keuangan Lembaga Bimbingan Belajar di Surakarta")</f>
        <v>Pengaruh Pengendalian Internal, Pemanfaatan Teknologi Informasi Akuntansi dan Sumber Daya Manusia Terhadap Kualitas Laporan Keuangan Lembaga Bimbingan Belajar di Surakarta</v>
      </c>
      <c r="C189" s="7">
        <f>IFERROR(__xludf.DUMMYFUNCTION("""COMPUTED_VALUE"""),2021.0)</f>
        <v>2021</v>
      </c>
      <c r="D189" s="8" t="str">
        <f>IFERROR(__xludf.DUMMYFUNCTION("""COMPUTED_VALUE"""),"2021/2022")</f>
        <v>2021/2022</v>
      </c>
      <c r="E189" s="9">
        <f>IFERROR(__xludf.DUMMYFUNCTION("""COMPUTED_VALUE"""),44559.0)</f>
        <v>44559</v>
      </c>
      <c r="F189" s="5" t="str">
        <f>IFERROR(__xludf.DUMMYFUNCTION("""COMPUTED_VALUE"""),"Ganjil")</f>
        <v>Ganjil</v>
      </c>
      <c r="G189" s="5" t="str">
        <f>IFERROR(__xludf.DUMMYFUNCTION("""COMPUTED_VALUE"""),"Akuntansi")</f>
        <v>Akuntansi</v>
      </c>
      <c r="H189" s="10" t="str">
        <f>IFERROR(__xludf.DUMMYFUNCTION("""COMPUTED_VALUE"""),"Mahasiswa")</f>
        <v>Mahasiswa</v>
      </c>
      <c r="I189" s="6" t="str">
        <f>IFERROR(__xludf.DUMMYFUNCTION("""COMPUTED_VALUE"""),"Dewinta Wulandari")</f>
        <v>Dewinta Wulandari</v>
      </c>
      <c r="J189" s="6" t="str">
        <f>IFERROR(__xludf.DUMMYFUNCTION("""COMPUTED_VALUE"""),"Ismunawan")</f>
        <v>Ismunawan</v>
      </c>
      <c r="K189" s="6"/>
      <c r="L189" s="6"/>
      <c r="M189" s="6"/>
      <c r="N189" s="6"/>
      <c r="O189" s="6"/>
      <c r="P189" s="10" t="str">
        <f>IFERROR(__xludf.DUMMYFUNCTION("""COMPUTED_VALUE"""),"Dewinta Wulandari,Ismunawan,,")</f>
        <v>Dewinta Wulandari,Ismunawan,,</v>
      </c>
      <c r="Q189" s="6"/>
      <c r="R189" s="6"/>
    </row>
    <row r="190">
      <c r="A190" s="5">
        <f>IFERROR(__xludf.DUMMYFUNCTION("""COMPUTED_VALUE"""),189.0)</f>
        <v>189</v>
      </c>
      <c r="B190" s="6" t="str">
        <f>IFERROR(__xludf.DUMMYFUNCTION("""COMPUTED_VALUE"""),"PENGARUH PERENCANAAN PAJAK, UKURAN PERUSAHAAN, KEPEMILIKAN INSTITUSIONAL, DAN KUALITAS AUDIT TERHADAP MANAJEMEN LABA")</f>
        <v>PENGARUH PERENCANAAN PAJAK, UKURAN PERUSAHAAN, KEPEMILIKAN INSTITUSIONAL, DAN KUALITAS AUDIT TERHADAP MANAJEMEN LABA</v>
      </c>
      <c r="C190" s="7">
        <f>IFERROR(__xludf.DUMMYFUNCTION("""COMPUTED_VALUE"""),2021.0)</f>
        <v>2021</v>
      </c>
      <c r="D190" s="8" t="str">
        <f>IFERROR(__xludf.DUMMYFUNCTION("""COMPUTED_VALUE"""),"2021/2022")</f>
        <v>2021/2022</v>
      </c>
      <c r="E190" s="9">
        <f>IFERROR(__xludf.DUMMYFUNCTION("""COMPUTED_VALUE"""),44559.0)</f>
        <v>44559</v>
      </c>
      <c r="F190" s="5" t="str">
        <f>IFERROR(__xludf.DUMMYFUNCTION("""COMPUTED_VALUE"""),"Ganjil")</f>
        <v>Ganjil</v>
      </c>
      <c r="G190" s="5" t="str">
        <f>IFERROR(__xludf.DUMMYFUNCTION("""COMPUTED_VALUE"""),"Akuntansi")</f>
        <v>Akuntansi</v>
      </c>
      <c r="H190" s="10" t="str">
        <f>IFERROR(__xludf.DUMMYFUNCTION("""COMPUTED_VALUE"""),"Mahasiswa")</f>
        <v>Mahasiswa</v>
      </c>
      <c r="I190" s="6" t="str">
        <f>IFERROR(__xludf.DUMMYFUNCTION("""COMPUTED_VALUE"""),"Nidya Febrianti")</f>
        <v>Nidya Febrianti</v>
      </c>
      <c r="J190" s="6" t="str">
        <f>IFERROR(__xludf.DUMMYFUNCTION("""COMPUTED_VALUE"""),"Ismunawan")</f>
        <v>Ismunawan</v>
      </c>
      <c r="K190" s="6"/>
      <c r="L190" s="6"/>
      <c r="M190" s="6"/>
      <c r="N190" s="6"/>
      <c r="O190" s="6"/>
      <c r="P190" s="10" t="str">
        <f>IFERROR(__xludf.DUMMYFUNCTION("""COMPUTED_VALUE"""),"Nidya Febrianti,Ismunawan,,")</f>
        <v>Nidya Febrianti,Ismunawan,,</v>
      </c>
      <c r="Q190" s="6"/>
      <c r="R190" s="6"/>
    </row>
    <row r="191">
      <c r="A191" s="5">
        <f>IFERROR(__xludf.DUMMYFUNCTION("""COMPUTED_VALUE"""),190.0)</f>
        <v>190</v>
      </c>
      <c r="B191" s="6" t="str">
        <f>IFERROR(__xludf.DUMMYFUNCTION("""COMPUTED_VALUE"""),"Pengaruh Persepsi Wajib Pajak, Sanksi Perpajakan, Sistem E-Filing Terhadap Tingkat Kepatuhan Wajib Pajak Di Kabupaten Sukoharjo")</f>
        <v>Pengaruh Persepsi Wajib Pajak, Sanksi Perpajakan, Sistem E-Filing Terhadap Tingkat Kepatuhan Wajib Pajak Di Kabupaten Sukoharjo</v>
      </c>
      <c r="C191" s="7">
        <f>IFERROR(__xludf.DUMMYFUNCTION("""COMPUTED_VALUE"""),2021.0)</f>
        <v>2021</v>
      </c>
      <c r="D191" s="8" t="str">
        <f>IFERROR(__xludf.DUMMYFUNCTION("""COMPUTED_VALUE"""),"2021/2022")</f>
        <v>2021/2022</v>
      </c>
      <c r="E191" s="9">
        <f>IFERROR(__xludf.DUMMYFUNCTION("""COMPUTED_VALUE"""),44559.0)</f>
        <v>44559</v>
      </c>
      <c r="F191" s="5" t="str">
        <f>IFERROR(__xludf.DUMMYFUNCTION("""COMPUTED_VALUE"""),"Ganjil")</f>
        <v>Ganjil</v>
      </c>
      <c r="G191" s="5" t="str">
        <f>IFERROR(__xludf.DUMMYFUNCTION("""COMPUTED_VALUE"""),"Akuntansi")</f>
        <v>Akuntansi</v>
      </c>
      <c r="H191" s="10" t="str">
        <f>IFERROR(__xludf.DUMMYFUNCTION("""COMPUTED_VALUE"""),"Mahasiswa")</f>
        <v>Mahasiswa</v>
      </c>
      <c r="I191" s="6" t="str">
        <f>IFERROR(__xludf.DUMMYFUNCTION("""COMPUTED_VALUE"""),"Leo Aji Prasetyo")</f>
        <v>Leo Aji Prasetyo</v>
      </c>
      <c r="J191" s="6" t="str">
        <f>IFERROR(__xludf.DUMMYFUNCTION("""COMPUTED_VALUE"""),"Nur Kholis")</f>
        <v>Nur Kholis</v>
      </c>
      <c r="K191" s="6"/>
      <c r="L191" s="6"/>
      <c r="M191" s="6"/>
      <c r="N191" s="6"/>
      <c r="O191" s="6"/>
      <c r="P191" s="10" t="str">
        <f>IFERROR(__xludf.DUMMYFUNCTION("""COMPUTED_VALUE"""),"Leo Aji Prasetyo,Nur Kholis,,")</f>
        <v>Leo Aji Prasetyo,Nur Kholis,,</v>
      </c>
      <c r="Q191" s="11" t="str">
        <f>IFERROR(__xludf.DUMMYFUNCTION("""COMPUTED_VALUE"""),"https://jurnal.stie-aas.ac.id/index.php/jap")</f>
        <v>https://jurnal.stie-aas.ac.id/index.php/jap</v>
      </c>
      <c r="R191" s="6"/>
    </row>
    <row r="192">
      <c r="A192" s="5">
        <f>IFERROR(__xludf.DUMMYFUNCTION("""COMPUTED_VALUE"""),191.0)</f>
        <v>191</v>
      </c>
      <c r="B192" s="6" t="str">
        <f>IFERROR(__xludf.DUMMYFUNCTION("""COMPUTED_VALUE"""),"Pengaruh Persepsi, Tingkat Pendidikan dan Sosialisasi Terhadap Penerapan SAK EMKM pada UMKM Wilayah Kabupaten Boyolali")</f>
        <v>Pengaruh Persepsi, Tingkat Pendidikan dan Sosialisasi Terhadap Penerapan SAK EMKM pada UMKM Wilayah Kabupaten Boyolali</v>
      </c>
      <c r="C192" s="7">
        <f>IFERROR(__xludf.DUMMYFUNCTION("""COMPUTED_VALUE"""),2021.0)</f>
        <v>2021</v>
      </c>
      <c r="D192" s="8" t="str">
        <f>IFERROR(__xludf.DUMMYFUNCTION("""COMPUTED_VALUE"""),"2021/2022")</f>
        <v>2021/2022</v>
      </c>
      <c r="E192" s="9">
        <f>IFERROR(__xludf.DUMMYFUNCTION("""COMPUTED_VALUE"""),44559.0)</f>
        <v>44559</v>
      </c>
      <c r="F192" s="5" t="str">
        <f>IFERROR(__xludf.DUMMYFUNCTION("""COMPUTED_VALUE"""),"Ganjil")</f>
        <v>Ganjil</v>
      </c>
      <c r="G192" s="5" t="str">
        <f>IFERROR(__xludf.DUMMYFUNCTION("""COMPUTED_VALUE"""),"Akuntansi")</f>
        <v>Akuntansi</v>
      </c>
      <c r="H192" s="10" t="str">
        <f>IFERROR(__xludf.DUMMYFUNCTION("""COMPUTED_VALUE"""),"Mahasiswa")</f>
        <v>Mahasiswa</v>
      </c>
      <c r="I192" s="6" t="str">
        <f>IFERROR(__xludf.DUMMYFUNCTION("""COMPUTED_VALUE"""),"Indri Setyawati")</f>
        <v>Indri Setyawati</v>
      </c>
      <c r="J192" s="6" t="str">
        <f>IFERROR(__xludf.DUMMYFUNCTION("""COMPUTED_VALUE"""),"Nur Kholis")</f>
        <v>Nur Kholis</v>
      </c>
      <c r="K192" s="6"/>
      <c r="L192" s="6"/>
      <c r="M192" s="6"/>
      <c r="N192" s="6"/>
      <c r="O192" s="6"/>
      <c r="P192" s="10" t="str">
        <f>IFERROR(__xludf.DUMMYFUNCTION("""COMPUTED_VALUE"""),"Indri Setyawati,Nur Kholis,,")</f>
        <v>Indri Setyawati,Nur Kholis,,</v>
      </c>
      <c r="Q192" s="6"/>
      <c r="R192" s="6"/>
    </row>
    <row r="193">
      <c r="A193" s="5">
        <f>IFERROR(__xludf.DUMMYFUNCTION("""COMPUTED_VALUE"""),192.0)</f>
        <v>192</v>
      </c>
      <c r="B193" s="6" t="str">
        <f>IFERROR(__xludf.DUMMYFUNCTION("""COMPUTED_VALUE"""),"PENGARUH PROFITABILITAS, LEVERAGE DAN GOOD CORPORATE GOVERNANCE TERHADAP NILAI PERUSAHAAN")</f>
        <v>PENGARUH PROFITABILITAS, LEVERAGE DAN GOOD CORPORATE GOVERNANCE TERHADAP NILAI PERUSAHAAN</v>
      </c>
      <c r="C193" s="7">
        <f>IFERROR(__xludf.DUMMYFUNCTION("""COMPUTED_VALUE"""),2021.0)</f>
        <v>2021</v>
      </c>
      <c r="D193" s="8" t="str">
        <f>IFERROR(__xludf.DUMMYFUNCTION("""COMPUTED_VALUE"""),"2021/2022")</f>
        <v>2021/2022</v>
      </c>
      <c r="E193" s="9">
        <f>IFERROR(__xludf.DUMMYFUNCTION("""COMPUTED_VALUE"""),44559.0)</f>
        <v>44559</v>
      </c>
      <c r="F193" s="5" t="str">
        <f>IFERROR(__xludf.DUMMYFUNCTION("""COMPUTED_VALUE"""),"Ganjil")</f>
        <v>Ganjil</v>
      </c>
      <c r="G193" s="5" t="str">
        <f>IFERROR(__xludf.DUMMYFUNCTION("""COMPUTED_VALUE"""),"Akuntansi")</f>
        <v>Akuntansi</v>
      </c>
      <c r="H193" s="10" t="str">
        <f>IFERROR(__xludf.DUMMYFUNCTION("""COMPUTED_VALUE"""),"Mahasiswa")</f>
        <v>Mahasiswa</v>
      </c>
      <c r="I193" s="6" t="str">
        <f>IFERROR(__xludf.DUMMYFUNCTION("""COMPUTED_VALUE"""),"Ermia Pupaninggiri")</f>
        <v>Ermia Pupaninggiri</v>
      </c>
      <c r="J193" s="6" t="str">
        <f>IFERROR(__xludf.DUMMYFUNCTION("""COMPUTED_VALUE"""),"Eko Triyanto")</f>
        <v>Eko Triyanto</v>
      </c>
      <c r="K193" s="6"/>
      <c r="L193" s="6"/>
      <c r="M193" s="6"/>
      <c r="N193" s="6"/>
      <c r="O193" s="6"/>
      <c r="P193" s="10" t="str">
        <f>IFERROR(__xludf.DUMMYFUNCTION("""COMPUTED_VALUE"""),"Ermia Pupaninggiri,Eko Triyanto,,")</f>
        <v>Ermia Pupaninggiri,Eko Triyanto,,</v>
      </c>
      <c r="Q193" s="6"/>
      <c r="R193" s="6"/>
    </row>
    <row r="194">
      <c r="A194" s="5">
        <f>IFERROR(__xludf.DUMMYFUNCTION("""COMPUTED_VALUE"""),193.0)</f>
        <v>193</v>
      </c>
      <c r="B194" s="6" t="str">
        <f>IFERROR(__xludf.DUMMYFUNCTION("""COMPUTED_VALUE"""),"PENGARUH RETRIBUSI TERMINAL, RETRIBUSI REKREASI, DAN RETRIBUSI IMB TERHADAP PAD KABUPATEN SUKOHARJO")</f>
        <v>PENGARUH RETRIBUSI TERMINAL, RETRIBUSI REKREASI, DAN RETRIBUSI IMB TERHADAP PAD KABUPATEN SUKOHARJO</v>
      </c>
      <c r="C194" s="7">
        <f>IFERROR(__xludf.DUMMYFUNCTION("""COMPUTED_VALUE"""),2021.0)</f>
        <v>2021</v>
      </c>
      <c r="D194" s="8" t="str">
        <f>IFERROR(__xludf.DUMMYFUNCTION("""COMPUTED_VALUE"""),"2021/2022")</f>
        <v>2021/2022</v>
      </c>
      <c r="E194" s="9">
        <f>IFERROR(__xludf.DUMMYFUNCTION("""COMPUTED_VALUE"""),44559.0)</f>
        <v>44559</v>
      </c>
      <c r="F194" s="5" t="str">
        <f>IFERROR(__xludf.DUMMYFUNCTION("""COMPUTED_VALUE"""),"Ganjil")</f>
        <v>Ganjil</v>
      </c>
      <c r="G194" s="5" t="str">
        <f>IFERROR(__xludf.DUMMYFUNCTION("""COMPUTED_VALUE"""),"Akuntansi")</f>
        <v>Akuntansi</v>
      </c>
      <c r="H194" s="10" t="str">
        <f>IFERROR(__xludf.DUMMYFUNCTION("""COMPUTED_VALUE"""),"Mahasiswa")</f>
        <v>Mahasiswa</v>
      </c>
      <c r="I194" s="6" t="str">
        <f>IFERROR(__xludf.DUMMYFUNCTION("""COMPUTED_VALUE"""),"Elmia Margareta")</f>
        <v>Elmia Margareta</v>
      </c>
      <c r="J194" s="6" t="str">
        <f>IFERROR(__xludf.DUMMYFUNCTION("""COMPUTED_VALUE"""),"Nur Kholis")</f>
        <v>Nur Kholis</v>
      </c>
      <c r="K194" s="6"/>
      <c r="L194" s="6"/>
      <c r="M194" s="6"/>
      <c r="N194" s="6"/>
      <c r="O194" s="6"/>
      <c r="P194" s="10" t="str">
        <f>IFERROR(__xludf.DUMMYFUNCTION("""COMPUTED_VALUE"""),"Elmia Margareta,Nur Kholis,,")</f>
        <v>Elmia Margareta,Nur Kholis,,</v>
      </c>
      <c r="Q194" s="6"/>
      <c r="R194" s="6"/>
    </row>
    <row r="195">
      <c r="A195" s="5">
        <f>IFERROR(__xludf.DUMMYFUNCTION("""COMPUTED_VALUE"""),194.0)</f>
        <v>194</v>
      </c>
      <c r="B195" s="6" t="str">
        <f>IFERROR(__xludf.DUMMYFUNCTION("""COMPUTED_VALUE"""),"Pengaruh Sales Growth, Profitabilitas dan Leverage Terhadap Kebijakan Dividen Pada Perusahaan Manufaktur di BEI (Study Kasus Pada Perusahaan Manufaktur Sektor Industri Konsumsi Yang Terdaftar di BEI Periode 2017-2019)")</f>
        <v>Pengaruh Sales Growth, Profitabilitas dan Leverage Terhadap Kebijakan Dividen Pada Perusahaan Manufaktur di BEI (Study Kasus Pada Perusahaan Manufaktur Sektor Industri Konsumsi Yang Terdaftar di BEI Periode 2017-2019)</v>
      </c>
      <c r="C195" s="7">
        <f>IFERROR(__xludf.DUMMYFUNCTION("""COMPUTED_VALUE"""),2021.0)</f>
        <v>2021</v>
      </c>
      <c r="D195" s="8" t="str">
        <f>IFERROR(__xludf.DUMMYFUNCTION("""COMPUTED_VALUE"""),"2021/2022")</f>
        <v>2021/2022</v>
      </c>
      <c r="E195" s="9">
        <f>IFERROR(__xludf.DUMMYFUNCTION("""COMPUTED_VALUE"""),44559.0)</f>
        <v>44559</v>
      </c>
      <c r="F195" s="5" t="str">
        <f>IFERROR(__xludf.DUMMYFUNCTION("""COMPUTED_VALUE"""),"Ganjil")</f>
        <v>Ganjil</v>
      </c>
      <c r="G195" s="5" t="str">
        <f>IFERROR(__xludf.DUMMYFUNCTION("""COMPUTED_VALUE"""),"Akuntansi")</f>
        <v>Akuntansi</v>
      </c>
      <c r="H195" s="10" t="str">
        <f>IFERROR(__xludf.DUMMYFUNCTION("""COMPUTED_VALUE"""),"Mahasiswa")</f>
        <v>Mahasiswa</v>
      </c>
      <c r="I195" s="6" t="str">
        <f>IFERROR(__xludf.DUMMYFUNCTION("""COMPUTED_VALUE"""),"Santi Arum Wulandari")</f>
        <v>Santi Arum Wulandari</v>
      </c>
      <c r="J195" s="6" t="str">
        <f>IFERROR(__xludf.DUMMYFUNCTION("""COMPUTED_VALUE"""),"Eko Triyanto")</f>
        <v>Eko Triyanto</v>
      </c>
      <c r="K195" s="6"/>
      <c r="L195" s="6"/>
      <c r="M195" s="6"/>
      <c r="N195" s="6"/>
      <c r="O195" s="6"/>
      <c r="P195" s="10" t="str">
        <f>IFERROR(__xludf.DUMMYFUNCTION("""COMPUTED_VALUE"""),"Santi Arum Wulandari,Eko Triyanto,,")</f>
        <v>Santi Arum Wulandari,Eko Triyanto,,</v>
      </c>
      <c r="Q195" s="6"/>
      <c r="R195" s="6"/>
    </row>
    <row r="196">
      <c r="A196" s="5">
        <f>IFERROR(__xludf.DUMMYFUNCTION("""COMPUTED_VALUE"""),195.0)</f>
        <v>195</v>
      </c>
      <c r="B196" s="6" t="str">
        <f>IFERROR(__xludf.DUMMYFUNCTION("""COMPUTED_VALUE"""),"Pengaruh Sistem Informasi Akuntansi Penggajian, Pengendalian Internal, dan Perceived Organizational Support Terhadap Kinerja Karyawan (Studi Kasus Karyawan CV.Tiara Surakarta)")</f>
        <v>Pengaruh Sistem Informasi Akuntansi Penggajian, Pengendalian Internal, dan Perceived Organizational Support Terhadap Kinerja Karyawan (Studi Kasus Karyawan CV.Tiara Surakarta)</v>
      </c>
      <c r="C196" s="7">
        <f>IFERROR(__xludf.DUMMYFUNCTION("""COMPUTED_VALUE"""),2021.0)</f>
        <v>2021</v>
      </c>
      <c r="D196" s="8" t="str">
        <f>IFERROR(__xludf.DUMMYFUNCTION("""COMPUTED_VALUE"""),"2021/2022")</f>
        <v>2021/2022</v>
      </c>
      <c r="E196" s="9">
        <f>IFERROR(__xludf.DUMMYFUNCTION("""COMPUTED_VALUE"""),44559.0)</f>
        <v>44559</v>
      </c>
      <c r="F196" s="5" t="str">
        <f>IFERROR(__xludf.DUMMYFUNCTION("""COMPUTED_VALUE"""),"Ganjil")</f>
        <v>Ganjil</v>
      </c>
      <c r="G196" s="5" t="str">
        <f>IFERROR(__xludf.DUMMYFUNCTION("""COMPUTED_VALUE"""),"Akuntansi")</f>
        <v>Akuntansi</v>
      </c>
      <c r="H196" s="10" t="str">
        <f>IFERROR(__xludf.DUMMYFUNCTION("""COMPUTED_VALUE"""),"Mahasiswa")</f>
        <v>Mahasiswa</v>
      </c>
      <c r="I196" s="6" t="str">
        <f>IFERROR(__xludf.DUMMYFUNCTION("""COMPUTED_VALUE"""),"Ega Novita Putri")</f>
        <v>Ega Novita Putri</v>
      </c>
      <c r="J196" s="6" t="str">
        <f>IFERROR(__xludf.DUMMYFUNCTION("""COMPUTED_VALUE"""),"Eko Triyanto")</f>
        <v>Eko Triyanto</v>
      </c>
      <c r="K196" s="6"/>
      <c r="L196" s="6"/>
      <c r="M196" s="6"/>
      <c r="N196" s="6"/>
      <c r="O196" s="6"/>
      <c r="P196" s="10" t="str">
        <f>IFERROR(__xludf.DUMMYFUNCTION("""COMPUTED_VALUE"""),"Ega Novita Putri,Eko Triyanto,,")</f>
        <v>Ega Novita Putri,Eko Triyanto,,</v>
      </c>
      <c r="Q196" s="6"/>
      <c r="R196" s="6"/>
    </row>
    <row r="197">
      <c r="A197" s="5">
        <f>IFERROR(__xludf.DUMMYFUNCTION("""COMPUTED_VALUE"""),196.0)</f>
        <v>196</v>
      </c>
      <c r="B197" s="6" t="str">
        <f>IFERROR(__xludf.DUMMYFUNCTION("""COMPUTED_VALUE"""),"Pengaruh Sistem Pengendalian Internal, Audit Internal Dan Komitmen Organisasi Terhadap Kecurangan Perbankan Di Solo Raya")</f>
        <v>Pengaruh Sistem Pengendalian Internal, Audit Internal Dan Komitmen Organisasi Terhadap Kecurangan Perbankan Di Solo Raya</v>
      </c>
      <c r="C197" s="7">
        <f>IFERROR(__xludf.DUMMYFUNCTION("""COMPUTED_VALUE"""),2021.0)</f>
        <v>2021</v>
      </c>
      <c r="D197" s="8" t="str">
        <f>IFERROR(__xludf.DUMMYFUNCTION("""COMPUTED_VALUE"""),"2021/2022")</f>
        <v>2021/2022</v>
      </c>
      <c r="E197" s="9">
        <f>IFERROR(__xludf.DUMMYFUNCTION("""COMPUTED_VALUE"""),44559.0)</f>
        <v>44559</v>
      </c>
      <c r="F197" s="5" t="str">
        <f>IFERROR(__xludf.DUMMYFUNCTION("""COMPUTED_VALUE"""),"Ganjil")</f>
        <v>Ganjil</v>
      </c>
      <c r="G197" s="5" t="str">
        <f>IFERROR(__xludf.DUMMYFUNCTION("""COMPUTED_VALUE"""),"Akuntansi")</f>
        <v>Akuntansi</v>
      </c>
      <c r="H197" s="10" t="str">
        <f>IFERROR(__xludf.DUMMYFUNCTION("""COMPUTED_VALUE"""),"Mahasiswa")</f>
        <v>Mahasiswa</v>
      </c>
      <c r="I197" s="6" t="str">
        <f>IFERROR(__xludf.DUMMYFUNCTION("""COMPUTED_VALUE"""),"Fariska Arifin")</f>
        <v>Fariska Arifin</v>
      </c>
      <c r="J197" s="6" t="str">
        <f>IFERROR(__xludf.DUMMYFUNCTION("""COMPUTED_VALUE"""),"Pardi")</f>
        <v>Pardi</v>
      </c>
      <c r="K197" s="6"/>
      <c r="L197" s="6"/>
      <c r="M197" s="6"/>
      <c r="N197" s="6"/>
      <c r="O197" s="6"/>
      <c r="P197" s="10" t="str">
        <f>IFERROR(__xludf.DUMMYFUNCTION("""COMPUTED_VALUE"""),"Fariska Arifin,Pardi,,")</f>
        <v>Fariska Arifin,Pardi,,</v>
      </c>
      <c r="Q197" s="6"/>
      <c r="R197" s="6"/>
    </row>
    <row r="198">
      <c r="A198" s="5">
        <f>IFERROR(__xludf.DUMMYFUNCTION("""COMPUTED_VALUE"""),197.0)</f>
        <v>197</v>
      </c>
      <c r="B198" s="6" t="str">
        <f>IFERROR(__xludf.DUMMYFUNCTION("""COMPUTED_VALUE"""),"Pengaruh SPPT, tingkat pendidikan dan kesadaran wajib pajak terhadap kepatuhan wajib pajak dalam membayar pajak bumi dan bangunan Desa Mranggen")</f>
        <v>Pengaruh SPPT, tingkat pendidikan dan kesadaran wajib pajak terhadap kepatuhan wajib pajak dalam membayar pajak bumi dan bangunan Desa Mranggen</v>
      </c>
      <c r="C198" s="7">
        <f>IFERROR(__xludf.DUMMYFUNCTION("""COMPUTED_VALUE"""),2021.0)</f>
        <v>2021</v>
      </c>
      <c r="D198" s="8" t="str">
        <f>IFERROR(__xludf.DUMMYFUNCTION("""COMPUTED_VALUE"""),"2021/2022")</f>
        <v>2021/2022</v>
      </c>
      <c r="E198" s="9">
        <f>IFERROR(__xludf.DUMMYFUNCTION("""COMPUTED_VALUE"""),44559.0)</f>
        <v>44559</v>
      </c>
      <c r="F198" s="5" t="str">
        <f>IFERROR(__xludf.DUMMYFUNCTION("""COMPUTED_VALUE"""),"Ganjil")</f>
        <v>Ganjil</v>
      </c>
      <c r="G198" s="5" t="str">
        <f>IFERROR(__xludf.DUMMYFUNCTION("""COMPUTED_VALUE"""),"Akuntansi")</f>
        <v>Akuntansi</v>
      </c>
      <c r="H198" s="10" t="str">
        <f>IFERROR(__xludf.DUMMYFUNCTION("""COMPUTED_VALUE"""),"Mahasiswa")</f>
        <v>Mahasiswa</v>
      </c>
      <c r="I198" s="6" t="str">
        <f>IFERROR(__xludf.DUMMYFUNCTION("""COMPUTED_VALUE"""),"Devi Rahmawati")</f>
        <v>Devi Rahmawati</v>
      </c>
      <c r="J198" s="6" t="str">
        <f>IFERROR(__xludf.DUMMYFUNCTION("""COMPUTED_VALUE"""),"Nur Kholis")</f>
        <v>Nur Kholis</v>
      </c>
      <c r="K198" s="6"/>
      <c r="L198" s="6"/>
      <c r="M198" s="6"/>
      <c r="N198" s="6"/>
      <c r="O198" s="6"/>
      <c r="P198" s="10" t="str">
        <f>IFERROR(__xludf.DUMMYFUNCTION("""COMPUTED_VALUE"""),"Devi Rahmawati,Nur Kholis,,")</f>
        <v>Devi Rahmawati,Nur Kholis,,</v>
      </c>
      <c r="Q198" s="6"/>
      <c r="R198" s="6"/>
    </row>
    <row r="199">
      <c r="A199" s="5">
        <f>IFERROR(__xludf.DUMMYFUNCTION("""COMPUTED_VALUE"""),198.0)</f>
        <v>198</v>
      </c>
      <c r="B199" s="6" t="str">
        <f>IFERROR(__xludf.DUMMYFUNCTION("""COMPUTED_VALUE"""),"Pengaruh Tarif Pajak, Pendapatan, Sikap Wajib Pajak dan Kesadaran Wajib Pajak Terhadap Kepatuhan Wajib Pajak dalam Membayar Pajak Bumi dan Bangunan di Desa Tempursari")</f>
        <v>Pengaruh Tarif Pajak, Pendapatan, Sikap Wajib Pajak dan Kesadaran Wajib Pajak Terhadap Kepatuhan Wajib Pajak dalam Membayar Pajak Bumi dan Bangunan di Desa Tempursari</v>
      </c>
      <c r="C199" s="7">
        <f>IFERROR(__xludf.DUMMYFUNCTION("""COMPUTED_VALUE"""),2021.0)</f>
        <v>2021</v>
      </c>
      <c r="D199" s="8" t="str">
        <f>IFERROR(__xludf.DUMMYFUNCTION("""COMPUTED_VALUE"""),"2021/2022")</f>
        <v>2021/2022</v>
      </c>
      <c r="E199" s="9">
        <f>IFERROR(__xludf.DUMMYFUNCTION("""COMPUTED_VALUE"""),44559.0)</f>
        <v>44559</v>
      </c>
      <c r="F199" s="5" t="str">
        <f>IFERROR(__xludf.DUMMYFUNCTION("""COMPUTED_VALUE"""),"Ganjil")</f>
        <v>Ganjil</v>
      </c>
      <c r="G199" s="5" t="str">
        <f>IFERROR(__xludf.DUMMYFUNCTION("""COMPUTED_VALUE"""),"Akuntansi")</f>
        <v>Akuntansi</v>
      </c>
      <c r="H199" s="10" t="str">
        <f>IFERROR(__xludf.DUMMYFUNCTION("""COMPUTED_VALUE"""),"Mahasiswa")</f>
        <v>Mahasiswa</v>
      </c>
      <c r="I199" s="6" t="str">
        <f>IFERROR(__xludf.DUMMYFUNCTION("""COMPUTED_VALUE"""),"Dewi Suci Ika Rahayu")</f>
        <v>Dewi Suci Ika Rahayu</v>
      </c>
      <c r="J199" s="6" t="str">
        <f>IFERROR(__xludf.DUMMYFUNCTION("""COMPUTED_VALUE"""),"Nur Kholis")</f>
        <v>Nur Kholis</v>
      </c>
      <c r="K199" s="6"/>
      <c r="L199" s="6"/>
      <c r="M199" s="6"/>
      <c r="N199" s="6"/>
      <c r="O199" s="6"/>
      <c r="P199" s="10" t="str">
        <f>IFERROR(__xludf.DUMMYFUNCTION("""COMPUTED_VALUE"""),"Dewi Suci Ika Rahayu,Nur Kholis,,")</f>
        <v>Dewi Suci Ika Rahayu,Nur Kholis,,</v>
      </c>
      <c r="Q199" s="6"/>
      <c r="R199" s="6"/>
    </row>
    <row r="200">
      <c r="A200" s="5">
        <f>IFERROR(__xludf.DUMMYFUNCTION("""COMPUTED_VALUE"""),199.0)</f>
        <v>199</v>
      </c>
      <c r="B200" s="6" t="str">
        <f>IFERROR(__xludf.DUMMYFUNCTION("""COMPUTED_VALUE"""),"PENGARUH TATA KELOLA PERUSAHAAN, PENGHINDARAN PAJAK, DAN PENGAMPUNAN PAJAK TERHADAP NILAI PERUSAHAAN")</f>
        <v>PENGARUH TATA KELOLA PERUSAHAAN, PENGHINDARAN PAJAK, DAN PENGAMPUNAN PAJAK TERHADAP NILAI PERUSAHAAN</v>
      </c>
      <c r="C200" s="7">
        <f>IFERROR(__xludf.DUMMYFUNCTION("""COMPUTED_VALUE"""),2021.0)</f>
        <v>2021</v>
      </c>
      <c r="D200" s="8" t="str">
        <f>IFERROR(__xludf.DUMMYFUNCTION("""COMPUTED_VALUE"""),"2021/2022")</f>
        <v>2021/2022</v>
      </c>
      <c r="E200" s="9">
        <f>IFERROR(__xludf.DUMMYFUNCTION("""COMPUTED_VALUE"""),44559.0)</f>
        <v>44559</v>
      </c>
      <c r="F200" s="5" t="str">
        <f>IFERROR(__xludf.DUMMYFUNCTION("""COMPUTED_VALUE"""),"Ganjil")</f>
        <v>Ganjil</v>
      </c>
      <c r="G200" s="5" t="str">
        <f>IFERROR(__xludf.DUMMYFUNCTION("""COMPUTED_VALUE"""),"Akuntansi")</f>
        <v>Akuntansi</v>
      </c>
      <c r="H200" s="10" t="str">
        <f>IFERROR(__xludf.DUMMYFUNCTION("""COMPUTED_VALUE"""),"Mahasiswa")</f>
        <v>Mahasiswa</v>
      </c>
      <c r="I200" s="6" t="str">
        <f>IFERROR(__xludf.DUMMYFUNCTION("""COMPUTED_VALUE"""),"Tio Rivaldi")</f>
        <v>Tio Rivaldi</v>
      </c>
      <c r="J200" s="6" t="str">
        <f>IFERROR(__xludf.DUMMYFUNCTION("""COMPUTED_VALUE"""),"Nur Kholis")</f>
        <v>Nur Kholis</v>
      </c>
      <c r="K200" s="6"/>
      <c r="L200" s="6"/>
      <c r="M200" s="6"/>
      <c r="N200" s="6"/>
      <c r="O200" s="6"/>
      <c r="P200" s="10" t="str">
        <f>IFERROR(__xludf.DUMMYFUNCTION("""COMPUTED_VALUE"""),"Tio Rivaldi,Nur Kholis,,")</f>
        <v>Tio Rivaldi,Nur Kholis,,</v>
      </c>
      <c r="Q200" s="6"/>
      <c r="R200" s="6"/>
    </row>
    <row r="201">
      <c r="A201" s="5">
        <f>IFERROR(__xludf.DUMMYFUNCTION("""COMPUTED_VALUE"""),200.0)</f>
        <v>200</v>
      </c>
      <c r="B201" s="6" t="str">
        <f>IFERROR(__xludf.DUMMYFUNCTION("""COMPUTED_VALUE"""),"Pengaruh Ukuran Dewan Komisaris, Proporsi Dewan Komisaris Independen, Dan Komite Audit Terhadap Pengungkapan Sukarela (Penelitian pada perusahaan manufaktur yang terdaftar di BEI pada tahun 2017 – 2019)")</f>
        <v>Pengaruh Ukuran Dewan Komisaris, Proporsi Dewan Komisaris Independen, Dan Komite Audit Terhadap Pengungkapan Sukarela (Penelitian pada perusahaan manufaktur yang terdaftar di BEI pada tahun 2017 – 2019)</v>
      </c>
      <c r="C201" s="7">
        <f>IFERROR(__xludf.DUMMYFUNCTION("""COMPUTED_VALUE"""),2021.0)</f>
        <v>2021</v>
      </c>
      <c r="D201" s="8" t="str">
        <f>IFERROR(__xludf.DUMMYFUNCTION("""COMPUTED_VALUE"""),"2021/2022")</f>
        <v>2021/2022</v>
      </c>
      <c r="E201" s="9">
        <f>IFERROR(__xludf.DUMMYFUNCTION("""COMPUTED_VALUE"""),44559.0)</f>
        <v>44559</v>
      </c>
      <c r="F201" s="5" t="str">
        <f>IFERROR(__xludf.DUMMYFUNCTION("""COMPUTED_VALUE"""),"Ganjil")</f>
        <v>Ganjil</v>
      </c>
      <c r="G201" s="5" t="str">
        <f>IFERROR(__xludf.DUMMYFUNCTION("""COMPUTED_VALUE"""),"Akuntansi")</f>
        <v>Akuntansi</v>
      </c>
      <c r="H201" s="10" t="str">
        <f>IFERROR(__xludf.DUMMYFUNCTION("""COMPUTED_VALUE"""),"Mahasiswa")</f>
        <v>Mahasiswa</v>
      </c>
      <c r="I201" s="6" t="str">
        <f>IFERROR(__xludf.DUMMYFUNCTION("""COMPUTED_VALUE"""),"Restu Safitri")</f>
        <v>Restu Safitri</v>
      </c>
      <c r="J201" s="6" t="str">
        <f>IFERROR(__xludf.DUMMYFUNCTION("""COMPUTED_VALUE"""),"Ismunawan")</f>
        <v>Ismunawan</v>
      </c>
      <c r="K201" s="6"/>
      <c r="L201" s="6"/>
      <c r="M201" s="6"/>
      <c r="N201" s="6"/>
      <c r="O201" s="6"/>
      <c r="P201" s="10" t="str">
        <f>IFERROR(__xludf.DUMMYFUNCTION("""COMPUTED_VALUE"""),"Restu Safitri,Ismunawan,,")</f>
        <v>Restu Safitri,Ismunawan,,</v>
      </c>
      <c r="Q201" s="6"/>
      <c r="R201" s="6"/>
    </row>
    <row r="202">
      <c r="A202" s="5">
        <f>IFERROR(__xludf.DUMMYFUNCTION("""COMPUTED_VALUE"""),201.0)</f>
        <v>201</v>
      </c>
      <c r="B202" s="6" t="str">
        <f>IFERROR(__xludf.DUMMYFUNCTION("""COMPUTED_VALUE"""),"PENGARUHMODAL USAHA, TENAGA KERJA DAN LAMA USAHA TERHADAP PENDAPATAN UMKM SEKTOR INDUSTRI MEBEL DI KECAMATAN SUKOHARJO")</f>
        <v>PENGARUHMODAL USAHA, TENAGA KERJA DAN LAMA USAHA TERHADAP PENDAPATAN UMKM SEKTOR INDUSTRI MEBEL DI KECAMATAN SUKOHARJO</v>
      </c>
      <c r="C202" s="7">
        <f>IFERROR(__xludf.DUMMYFUNCTION("""COMPUTED_VALUE"""),2021.0)</f>
        <v>2021</v>
      </c>
      <c r="D202" s="8" t="str">
        <f>IFERROR(__xludf.DUMMYFUNCTION("""COMPUTED_VALUE"""),"2021/2022")</f>
        <v>2021/2022</v>
      </c>
      <c r="E202" s="9">
        <f>IFERROR(__xludf.DUMMYFUNCTION("""COMPUTED_VALUE"""),44559.0)</f>
        <v>44559</v>
      </c>
      <c r="F202" s="5" t="str">
        <f>IFERROR(__xludf.DUMMYFUNCTION("""COMPUTED_VALUE"""),"Ganjil")</f>
        <v>Ganjil</v>
      </c>
      <c r="G202" s="5" t="str">
        <f>IFERROR(__xludf.DUMMYFUNCTION("""COMPUTED_VALUE"""),"Akuntansi")</f>
        <v>Akuntansi</v>
      </c>
      <c r="H202" s="10" t="str">
        <f>IFERROR(__xludf.DUMMYFUNCTION("""COMPUTED_VALUE"""),"Mahasiswa")</f>
        <v>Mahasiswa</v>
      </c>
      <c r="I202" s="6" t="str">
        <f>IFERROR(__xludf.DUMMYFUNCTION("""COMPUTED_VALUE"""),"Muhammad Hudha")</f>
        <v>Muhammad Hudha</v>
      </c>
      <c r="J202" s="6" t="str">
        <f>IFERROR(__xludf.DUMMYFUNCTION("""COMPUTED_VALUE"""),"Eko Triyanto")</f>
        <v>Eko Triyanto</v>
      </c>
      <c r="K202" s="6"/>
      <c r="L202" s="6"/>
      <c r="M202" s="6"/>
      <c r="N202" s="6"/>
      <c r="O202" s="6"/>
      <c r="P202" s="10" t="str">
        <f>IFERROR(__xludf.DUMMYFUNCTION("""COMPUTED_VALUE"""),"Muhammad Hudha,Eko Triyanto,,")</f>
        <v>Muhammad Hudha,Eko Triyanto,,</v>
      </c>
      <c r="Q202" s="6"/>
      <c r="R202" s="6"/>
    </row>
    <row r="203">
      <c r="A203" s="5">
        <f>IFERROR(__xludf.DUMMYFUNCTION("""COMPUTED_VALUE"""),202.0)</f>
        <v>202</v>
      </c>
      <c r="B203" s="6" t="str">
        <f>IFERROR(__xludf.DUMMYFUNCTION("""COMPUTED_VALUE"""),"PERILAKU KECURANGAN AKADEMIK AKUNTANSI BERDASARKAN SUDUT PANDANG FRAUD DIAMOND PADA MAHASISWA PROGRAM STUDI S1 AKUNTANSI SEKOLAH TINGGI ILMU EKONOMI SURAKARTA")</f>
        <v>PERILAKU KECURANGAN AKADEMIK AKUNTANSI BERDASARKAN SUDUT PANDANG FRAUD DIAMOND PADA MAHASISWA PROGRAM STUDI S1 AKUNTANSI SEKOLAH TINGGI ILMU EKONOMI SURAKARTA</v>
      </c>
      <c r="C203" s="7">
        <f>IFERROR(__xludf.DUMMYFUNCTION("""COMPUTED_VALUE"""),2021.0)</f>
        <v>2021</v>
      </c>
      <c r="D203" s="8" t="str">
        <f>IFERROR(__xludf.DUMMYFUNCTION("""COMPUTED_VALUE"""),"2021/2022")</f>
        <v>2021/2022</v>
      </c>
      <c r="E203" s="9">
        <f>IFERROR(__xludf.DUMMYFUNCTION("""COMPUTED_VALUE"""),44559.0)</f>
        <v>44559</v>
      </c>
      <c r="F203" s="5" t="str">
        <f>IFERROR(__xludf.DUMMYFUNCTION("""COMPUTED_VALUE"""),"Ganjil")</f>
        <v>Ganjil</v>
      </c>
      <c r="G203" s="5" t="str">
        <f>IFERROR(__xludf.DUMMYFUNCTION("""COMPUTED_VALUE"""),"Akuntansi")</f>
        <v>Akuntansi</v>
      </c>
      <c r="H203" s="10" t="str">
        <f>IFERROR(__xludf.DUMMYFUNCTION("""COMPUTED_VALUE"""),"Mahasiswa")</f>
        <v>Mahasiswa</v>
      </c>
      <c r="I203" s="6" t="str">
        <f>IFERROR(__xludf.DUMMYFUNCTION("""COMPUTED_VALUE"""),"Nicken Nur Sahbrina")</f>
        <v>Nicken Nur Sahbrina</v>
      </c>
      <c r="J203" s="6" t="str">
        <f>IFERROR(__xludf.DUMMYFUNCTION("""COMPUTED_VALUE"""),"Eko Triyanto")</f>
        <v>Eko Triyanto</v>
      </c>
      <c r="K203" s="6"/>
      <c r="L203" s="6"/>
      <c r="M203" s="6"/>
      <c r="N203" s="6"/>
      <c r="O203" s="6"/>
      <c r="P203" s="10" t="str">
        <f>IFERROR(__xludf.DUMMYFUNCTION("""COMPUTED_VALUE"""),"Nicken Nur Sahbrina,Eko Triyanto,,")</f>
        <v>Nicken Nur Sahbrina,Eko Triyanto,,</v>
      </c>
      <c r="Q203" s="6"/>
      <c r="R203" s="6"/>
    </row>
    <row r="204">
      <c r="A204" s="5">
        <f>IFERROR(__xludf.DUMMYFUNCTION("""COMPUTED_VALUE"""),203.0)</f>
        <v>203</v>
      </c>
      <c r="B204" s="6" t="str">
        <f>IFERROR(__xludf.DUMMYFUNCTION("""COMPUTED_VALUE"""),"Perlakuan Akuntansi Produk Rusak Dalam Menetapkan Harga Pokok Produksi Pada Ningratan Kopi And Roaster")</f>
        <v>Perlakuan Akuntansi Produk Rusak Dalam Menetapkan Harga Pokok Produksi Pada Ningratan Kopi And Roaster</v>
      </c>
      <c r="C204" s="7">
        <f>IFERROR(__xludf.DUMMYFUNCTION("""COMPUTED_VALUE"""),2021.0)</f>
        <v>2021</v>
      </c>
      <c r="D204" s="8" t="str">
        <f>IFERROR(__xludf.DUMMYFUNCTION("""COMPUTED_VALUE"""),"2021/2022")</f>
        <v>2021/2022</v>
      </c>
      <c r="E204" s="9">
        <f>IFERROR(__xludf.DUMMYFUNCTION("""COMPUTED_VALUE"""),44559.0)</f>
        <v>44559</v>
      </c>
      <c r="F204" s="5" t="str">
        <f>IFERROR(__xludf.DUMMYFUNCTION("""COMPUTED_VALUE"""),"Ganjil")</f>
        <v>Ganjil</v>
      </c>
      <c r="G204" s="5" t="str">
        <f>IFERROR(__xludf.DUMMYFUNCTION("""COMPUTED_VALUE"""),"Akuntansi")</f>
        <v>Akuntansi</v>
      </c>
      <c r="H204" s="10" t="str">
        <f>IFERROR(__xludf.DUMMYFUNCTION("""COMPUTED_VALUE"""),"Mahasiswa")</f>
        <v>Mahasiswa</v>
      </c>
      <c r="I204" s="6" t="str">
        <f>IFERROR(__xludf.DUMMYFUNCTION("""COMPUTED_VALUE"""),"Pradina Eni Setyawati")</f>
        <v>Pradina Eni Setyawati</v>
      </c>
      <c r="J204" s="6" t="str">
        <f>IFERROR(__xludf.DUMMYFUNCTION("""COMPUTED_VALUE"""),"Ismunawan")</f>
        <v>Ismunawan</v>
      </c>
      <c r="K204" s="6"/>
      <c r="L204" s="6"/>
      <c r="M204" s="6"/>
      <c r="N204" s="6"/>
      <c r="O204" s="6"/>
      <c r="P204" s="10" t="str">
        <f>IFERROR(__xludf.DUMMYFUNCTION("""COMPUTED_VALUE"""),"Pradina Eni Setyawati,Ismunawan,,")</f>
        <v>Pradina Eni Setyawati,Ismunawan,,</v>
      </c>
      <c r="Q204" s="6"/>
      <c r="R204" s="6"/>
    </row>
    <row r="205">
      <c r="A205" s="5">
        <f>IFERROR(__xludf.DUMMYFUNCTION("""COMPUTED_VALUE"""),204.0)</f>
        <v>204</v>
      </c>
      <c r="B205" s="6" t="str">
        <f>IFERROR(__xludf.DUMMYFUNCTION("""COMPUTED_VALUE"""),"Ratio Finance Food and Baverages Before Covid ‘19")</f>
        <v>Ratio Finance Food and Baverages Before Covid ‘19</v>
      </c>
      <c r="C205" s="7">
        <f>IFERROR(__xludf.DUMMYFUNCTION("""COMPUTED_VALUE"""),2021.0)</f>
        <v>2021</v>
      </c>
      <c r="D205" s="8" t="str">
        <f>IFERROR(__xludf.DUMMYFUNCTION("""COMPUTED_VALUE"""),"2021/2022")</f>
        <v>2021/2022</v>
      </c>
      <c r="E205" s="9">
        <f>IFERROR(__xludf.DUMMYFUNCTION("""COMPUTED_VALUE"""),44559.0)</f>
        <v>44559</v>
      </c>
      <c r="F205" s="5" t="str">
        <f>IFERROR(__xludf.DUMMYFUNCTION("""COMPUTED_VALUE"""),"Ganjil")</f>
        <v>Ganjil</v>
      </c>
      <c r="G205" s="5" t="str">
        <f>IFERROR(__xludf.DUMMYFUNCTION("""COMPUTED_VALUE"""),"Akuntansi")</f>
        <v>Akuntansi</v>
      </c>
      <c r="H205" s="10" t="str">
        <f>IFERROR(__xludf.DUMMYFUNCTION("""COMPUTED_VALUE"""),"Mahasiswa")</f>
        <v>Mahasiswa</v>
      </c>
      <c r="I205" s="6" t="str">
        <f>IFERROR(__xludf.DUMMYFUNCTION("""COMPUTED_VALUE"""),"Eri Wulandari")</f>
        <v>Eri Wulandari</v>
      </c>
      <c r="J205" s="6" t="str">
        <f>IFERROR(__xludf.DUMMYFUNCTION("""COMPUTED_VALUE"""),"Pardi")</f>
        <v>Pardi</v>
      </c>
      <c r="K205" s="6"/>
      <c r="L205" s="6"/>
      <c r="M205" s="6"/>
      <c r="N205" s="6"/>
      <c r="O205" s="6"/>
      <c r="P205" s="10" t="str">
        <f>IFERROR(__xludf.DUMMYFUNCTION("""COMPUTED_VALUE"""),"Eri Wulandari,Pardi,,")</f>
        <v>Eri Wulandari,Pardi,,</v>
      </c>
      <c r="Q205" s="6"/>
      <c r="R205" s="6"/>
    </row>
    <row r="206">
      <c r="A206" s="5">
        <f>IFERROR(__xludf.DUMMYFUNCTION("""COMPUTED_VALUE"""),205.0)</f>
        <v>205</v>
      </c>
      <c r="B206" s="6" t="str">
        <f>IFERROR(__xludf.DUMMYFUNCTION("""COMPUTED_VALUE"""),"ANALISA DETERMINASI PROFITABILITAS PADA PERUSAHAAN FOOD AND BEVERAGES DI BEI TAHUN 2015-2019")</f>
        <v>ANALISA DETERMINASI PROFITABILITAS PADA PERUSAHAAN FOOD AND BEVERAGES DI BEI TAHUN 2015-2019</v>
      </c>
      <c r="C206" s="7">
        <f>IFERROR(__xludf.DUMMYFUNCTION("""COMPUTED_VALUE"""),2021.0)</f>
        <v>2021</v>
      </c>
      <c r="D206" s="8" t="str">
        <f>IFERROR(__xludf.DUMMYFUNCTION("""COMPUTED_VALUE"""),"2021/2022")</f>
        <v>2021/2022</v>
      </c>
      <c r="E206" s="9">
        <f>IFERROR(__xludf.DUMMYFUNCTION("""COMPUTED_VALUE"""),44559.0)</f>
        <v>44559</v>
      </c>
      <c r="F206" s="5" t="str">
        <f>IFERROR(__xludf.DUMMYFUNCTION("""COMPUTED_VALUE"""),"Ganjil")</f>
        <v>Ganjil</v>
      </c>
      <c r="G206" s="5" t="str">
        <f>IFERROR(__xludf.DUMMYFUNCTION("""COMPUTED_VALUE"""),"Akuntansi")</f>
        <v>Akuntansi</v>
      </c>
      <c r="H206" s="10" t="str">
        <f>IFERROR(__xludf.DUMMYFUNCTION("""COMPUTED_VALUE"""),"Mahasiswa")</f>
        <v>Mahasiswa</v>
      </c>
      <c r="I206" s="6" t="str">
        <f>IFERROR(__xludf.DUMMYFUNCTION("""COMPUTED_VALUE"""),"Mira Niodika")</f>
        <v>Mira Niodika</v>
      </c>
      <c r="J206" s="6" t="str">
        <f>IFERROR(__xludf.DUMMYFUNCTION("""COMPUTED_VALUE"""),"Arif Nugroho Rachman")</f>
        <v>Arif Nugroho Rachman</v>
      </c>
      <c r="K206" s="6"/>
      <c r="L206" s="6"/>
      <c r="M206" s="6"/>
      <c r="N206" s="6"/>
      <c r="O206" s="6"/>
      <c r="P206" s="10" t="str">
        <f>IFERROR(__xludf.DUMMYFUNCTION("""COMPUTED_VALUE"""),"Mira Niodika,Arif Nugroho Rachman,,")</f>
        <v>Mira Niodika,Arif Nugroho Rachman,,</v>
      </c>
      <c r="Q206" s="11" t="str">
        <f>IFERROR(__xludf.DUMMYFUNCTION("""COMPUTED_VALUE"""),"https://journals.ums.ac.id/index.php/dayasaing/article/view/13739")</f>
        <v>https://journals.ums.ac.id/index.php/dayasaing/article/view/13739</v>
      </c>
      <c r="R206" s="6"/>
    </row>
    <row r="207">
      <c r="A207" s="5">
        <f>IFERROR(__xludf.DUMMYFUNCTION("""COMPUTED_VALUE"""),206.0)</f>
        <v>206</v>
      </c>
      <c r="B207" s="6" t="str">
        <f>IFERROR(__xludf.DUMMYFUNCTION("""COMPUTED_VALUE"""),"ANALISIS SISTEM PENGENDALIAN INTERNAL PENERIMAAN KAS PADA CV. SOCIAL KITCHEN")</f>
        <v>ANALISIS SISTEM PENGENDALIAN INTERNAL PENERIMAAN KAS PADA CV. SOCIAL KITCHEN</v>
      </c>
      <c r="C207" s="7">
        <f>IFERROR(__xludf.DUMMYFUNCTION("""COMPUTED_VALUE"""),2021.0)</f>
        <v>2021</v>
      </c>
      <c r="D207" s="8" t="str">
        <f>IFERROR(__xludf.DUMMYFUNCTION("""COMPUTED_VALUE"""),"2021/2022")</f>
        <v>2021/2022</v>
      </c>
      <c r="E207" s="9">
        <f>IFERROR(__xludf.DUMMYFUNCTION("""COMPUTED_VALUE"""),44559.0)</f>
        <v>44559</v>
      </c>
      <c r="F207" s="5" t="str">
        <f>IFERROR(__xludf.DUMMYFUNCTION("""COMPUTED_VALUE"""),"Ganjil")</f>
        <v>Ganjil</v>
      </c>
      <c r="G207" s="5" t="str">
        <f>IFERROR(__xludf.DUMMYFUNCTION("""COMPUTED_VALUE"""),"Akuntansi")</f>
        <v>Akuntansi</v>
      </c>
      <c r="H207" s="10" t="str">
        <f>IFERROR(__xludf.DUMMYFUNCTION("""COMPUTED_VALUE"""),"Mahasiswa")</f>
        <v>Mahasiswa</v>
      </c>
      <c r="I207" s="6" t="str">
        <f>IFERROR(__xludf.DUMMYFUNCTION("""COMPUTED_VALUE"""),"Putri Rizki R")</f>
        <v>Putri Rizki R</v>
      </c>
      <c r="J207" s="6" t="str">
        <f>IFERROR(__xludf.DUMMYFUNCTION("""COMPUTED_VALUE"""),"Nur Kholis")</f>
        <v>Nur Kholis</v>
      </c>
      <c r="K207" s="6"/>
      <c r="L207" s="6"/>
      <c r="M207" s="6"/>
      <c r="N207" s="6"/>
      <c r="O207" s="6"/>
      <c r="P207" s="10" t="str">
        <f>IFERROR(__xludf.DUMMYFUNCTION("""COMPUTED_VALUE"""),"Putri Rizki R,Nur Kholis,,")</f>
        <v>Putri Rizki R,Nur Kholis,,</v>
      </c>
      <c r="Q207" s="6"/>
      <c r="R207" s="6"/>
    </row>
    <row r="208">
      <c r="A208" s="5">
        <f>IFERROR(__xludf.DUMMYFUNCTION("""COMPUTED_VALUE"""),207.0)</f>
        <v>207</v>
      </c>
      <c r="B208" s="6" t="str">
        <f>IFERROR(__xludf.DUMMYFUNCTION("""COMPUTED_VALUE"""),"Analisis Faktor-Faktor yang Mempengaruhi Profitabilitas Perbankan Konvensional disaat Pandemi Covid-19")</f>
        <v>Analisis Faktor-Faktor yang Mempengaruhi Profitabilitas Perbankan Konvensional disaat Pandemi Covid-19</v>
      </c>
      <c r="C208" s="7">
        <f>IFERROR(__xludf.DUMMYFUNCTION("""COMPUTED_VALUE"""),2021.0)</f>
        <v>2021</v>
      </c>
      <c r="D208" s="8" t="str">
        <f>IFERROR(__xludf.DUMMYFUNCTION("""COMPUTED_VALUE"""),"2021/2022")</f>
        <v>2021/2022</v>
      </c>
      <c r="E208" s="9">
        <f>IFERROR(__xludf.DUMMYFUNCTION("""COMPUTED_VALUE"""),44559.0)</f>
        <v>44559</v>
      </c>
      <c r="F208" s="5" t="str">
        <f>IFERROR(__xludf.DUMMYFUNCTION("""COMPUTED_VALUE"""),"Ganjil")</f>
        <v>Ganjil</v>
      </c>
      <c r="G208" s="5" t="str">
        <f>IFERROR(__xludf.DUMMYFUNCTION("""COMPUTED_VALUE"""),"Akuntansi")</f>
        <v>Akuntansi</v>
      </c>
      <c r="H208" s="10" t="str">
        <f>IFERROR(__xludf.DUMMYFUNCTION("""COMPUTED_VALUE"""),"Mahasiswa")</f>
        <v>Mahasiswa</v>
      </c>
      <c r="I208" s="6" t="str">
        <f>IFERROR(__xludf.DUMMYFUNCTION("""COMPUTED_VALUE"""),"Supriyanti")</f>
        <v>Supriyanti</v>
      </c>
      <c r="J208" s="6" t="str">
        <f>IFERROR(__xludf.DUMMYFUNCTION("""COMPUTED_VALUE"""),"Ismunawan")</f>
        <v>Ismunawan</v>
      </c>
      <c r="K208" s="6"/>
      <c r="L208" s="6"/>
      <c r="M208" s="6"/>
      <c r="N208" s="6"/>
      <c r="O208" s="6"/>
      <c r="P208" s="10" t="str">
        <f>IFERROR(__xludf.DUMMYFUNCTION("""COMPUTED_VALUE"""),"Supriyanti,Ismunawan,,")</f>
        <v>Supriyanti,Ismunawan,,</v>
      </c>
      <c r="Q208" s="6"/>
      <c r="R208" s="6"/>
    </row>
    <row r="209">
      <c r="A209" s="5">
        <f>IFERROR(__xludf.DUMMYFUNCTION("""COMPUTED_VALUE"""),208.0)</f>
        <v>208</v>
      </c>
      <c r="B209" s="6" t="str">
        <f>IFERROR(__xludf.DUMMYFUNCTION("""COMPUTED_VALUE"""),"Pengaruh Inflasi, Kurs, Suku Bunga, dan Pertumbuhan PDB terhadap Harga Saham Perbankan di BEI")</f>
        <v>Pengaruh Inflasi, Kurs, Suku Bunga, dan Pertumbuhan PDB terhadap Harga Saham Perbankan di BEI</v>
      </c>
      <c r="C209" s="7">
        <f>IFERROR(__xludf.DUMMYFUNCTION("""COMPUTED_VALUE"""),2021.0)</f>
        <v>2021</v>
      </c>
      <c r="D209" s="8" t="str">
        <f>IFERROR(__xludf.DUMMYFUNCTION("""COMPUTED_VALUE"""),"2021/2022")</f>
        <v>2021/2022</v>
      </c>
      <c r="E209" s="9">
        <f>IFERROR(__xludf.DUMMYFUNCTION("""COMPUTED_VALUE"""),44559.0)</f>
        <v>44559</v>
      </c>
      <c r="F209" s="5" t="str">
        <f>IFERROR(__xludf.DUMMYFUNCTION("""COMPUTED_VALUE"""),"Ganjil")</f>
        <v>Ganjil</v>
      </c>
      <c r="G209" s="5" t="str">
        <f>IFERROR(__xludf.DUMMYFUNCTION("""COMPUTED_VALUE"""),"Akuntansi")</f>
        <v>Akuntansi</v>
      </c>
      <c r="H209" s="10" t="str">
        <f>IFERROR(__xludf.DUMMYFUNCTION("""COMPUTED_VALUE"""),"Mahasiswa")</f>
        <v>Mahasiswa</v>
      </c>
      <c r="I209" s="6" t="str">
        <f>IFERROR(__xludf.DUMMYFUNCTION("""COMPUTED_VALUE"""),"Eka Widyasari")</f>
        <v>Eka Widyasari</v>
      </c>
      <c r="J209" s="6" t="str">
        <f>IFERROR(__xludf.DUMMYFUNCTION("""COMPUTED_VALUE"""),"Ismunawan")</f>
        <v>Ismunawan</v>
      </c>
      <c r="K209" s="6"/>
      <c r="L209" s="6"/>
      <c r="M209" s="6"/>
      <c r="N209" s="6"/>
      <c r="O209" s="6"/>
      <c r="P209" s="10" t="str">
        <f>IFERROR(__xludf.DUMMYFUNCTION("""COMPUTED_VALUE"""),"Eka Widyasari,Ismunawan,,")</f>
        <v>Eka Widyasari,Ismunawan,,</v>
      </c>
      <c r="Q209" s="11" t="str">
        <f>IFERROR(__xludf.DUMMYFUNCTION("""COMPUTED_VALUE"""),"https://jurnal.stie-aas.ac.id/index.php/jap")</f>
        <v>https://jurnal.stie-aas.ac.id/index.php/jap</v>
      </c>
      <c r="R209" s="6"/>
    </row>
    <row r="210">
      <c r="A210" s="5">
        <f>IFERROR(__xludf.DUMMYFUNCTION("""COMPUTED_VALUE"""),209.0)</f>
        <v>209</v>
      </c>
      <c r="B210" s="6" t="str">
        <f>IFERROR(__xludf.DUMMYFUNCTION("""COMPUTED_VALUE"""),"Pengaruh Good Corporate Governance Terhadap Kinerja Keuangan Perusahaan Textile &amp; Garment Yang Tercatat Pada Bursa Efek Indonesia")</f>
        <v>Pengaruh Good Corporate Governance Terhadap Kinerja Keuangan Perusahaan Textile &amp; Garment Yang Tercatat Pada Bursa Efek Indonesia</v>
      </c>
      <c r="C210" s="7">
        <f>IFERROR(__xludf.DUMMYFUNCTION("""COMPUTED_VALUE"""),2021.0)</f>
        <v>2021</v>
      </c>
      <c r="D210" s="8" t="str">
        <f>IFERROR(__xludf.DUMMYFUNCTION("""COMPUTED_VALUE"""),"2021/2022")</f>
        <v>2021/2022</v>
      </c>
      <c r="E210" s="9">
        <f>IFERROR(__xludf.DUMMYFUNCTION("""COMPUTED_VALUE"""),44559.0)</f>
        <v>44559</v>
      </c>
      <c r="F210" s="5" t="str">
        <f>IFERROR(__xludf.DUMMYFUNCTION("""COMPUTED_VALUE"""),"Ganjil")</f>
        <v>Ganjil</v>
      </c>
      <c r="G210" s="5" t="str">
        <f>IFERROR(__xludf.DUMMYFUNCTION("""COMPUTED_VALUE"""),"Akuntansi")</f>
        <v>Akuntansi</v>
      </c>
      <c r="H210" s="10" t="str">
        <f>IFERROR(__xludf.DUMMYFUNCTION("""COMPUTED_VALUE"""),"Mahasiswa")</f>
        <v>Mahasiswa</v>
      </c>
      <c r="I210" s="6" t="str">
        <f>IFERROR(__xludf.DUMMYFUNCTION("""COMPUTED_VALUE"""),"Ririn Safitri")</f>
        <v>Ririn Safitri</v>
      </c>
      <c r="J210" s="6" t="str">
        <f>IFERROR(__xludf.DUMMYFUNCTION("""COMPUTED_VALUE"""),"Arif Nugroho Rachman")</f>
        <v>Arif Nugroho Rachman</v>
      </c>
      <c r="K210" s="6"/>
      <c r="L210" s="6"/>
      <c r="M210" s="6"/>
      <c r="N210" s="6"/>
      <c r="O210" s="6"/>
      <c r="P210" s="10" t="str">
        <f>IFERROR(__xludf.DUMMYFUNCTION("""COMPUTED_VALUE"""),"Ririn Safitri,Arif Nugroho Rachman,,")</f>
        <v>Ririn Safitri,Arif Nugroho Rachman,,</v>
      </c>
      <c r="Q210" s="6"/>
      <c r="R210" s="6"/>
    </row>
    <row r="211">
      <c r="A211" s="5">
        <f>IFERROR(__xludf.DUMMYFUNCTION("""COMPUTED_VALUE"""),210.0)</f>
        <v>210</v>
      </c>
      <c r="B211" s="6" t="str">
        <f>IFERROR(__xludf.DUMMYFUNCTION("""COMPUTED_VALUE"""),"PENGARUH BIAYA BAHAN BAKU, BIAYA TENAGA KERJA LANGSUNG, UTANG USAHA, DAN BIAYA OPERASIONAL TERHADAP LABA BERSIH PADA PERUSAHAAN MAKANAN MINUMAN YANG TERDAFTAR DI BEI PERIODE 2018-2020")</f>
        <v>PENGARUH BIAYA BAHAN BAKU, BIAYA TENAGA KERJA LANGSUNG, UTANG USAHA, DAN BIAYA OPERASIONAL TERHADAP LABA BERSIH PADA PERUSAHAAN MAKANAN MINUMAN YANG TERDAFTAR DI BEI PERIODE 2018-2020</v>
      </c>
      <c r="C211" s="7">
        <f>IFERROR(__xludf.DUMMYFUNCTION("""COMPUTED_VALUE"""),2021.0)</f>
        <v>2021</v>
      </c>
      <c r="D211" s="8" t="str">
        <f>IFERROR(__xludf.DUMMYFUNCTION("""COMPUTED_VALUE"""),"2021/2022")</f>
        <v>2021/2022</v>
      </c>
      <c r="E211" s="9">
        <f>IFERROR(__xludf.DUMMYFUNCTION("""COMPUTED_VALUE"""),44559.0)</f>
        <v>44559</v>
      </c>
      <c r="F211" s="5" t="str">
        <f>IFERROR(__xludf.DUMMYFUNCTION("""COMPUTED_VALUE"""),"Ganjil")</f>
        <v>Ganjil</v>
      </c>
      <c r="G211" s="5" t="str">
        <f>IFERROR(__xludf.DUMMYFUNCTION("""COMPUTED_VALUE"""),"Akuntansi")</f>
        <v>Akuntansi</v>
      </c>
      <c r="H211" s="10" t="str">
        <f>IFERROR(__xludf.DUMMYFUNCTION("""COMPUTED_VALUE"""),"Mahasiswa")</f>
        <v>Mahasiswa</v>
      </c>
      <c r="I211" s="6" t="str">
        <f>IFERROR(__xludf.DUMMYFUNCTION("""COMPUTED_VALUE"""),"Tegar Nugraha Putra")</f>
        <v>Tegar Nugraha Putra</v>
      </c>
      <c r="J211" s="6" t="str">
        <f>IFERROR(__xludf.DUMMYFUNCTION("""COMPUTED_VALUE"""),"Ismunawan")</f>
        <v>Ismunawan</v>
      </c>
      <c r="K211" s="6"/>
      <c r="L211" s="6"/>
      <c r="M211" s="6"/>
      <c r="N211" s="6"/>
      <c r="O211" s="6"/>
      <c r="P211" s="10" t="str">
        <f>IFERROR(__xludf.DUMMYFUNCTION("""COMPUTED_VALUE"""),"Tegar Nugraha Putra,Ismunawan,,")</f>
        <v>Tegar Nugraha Putra,Ismunawan,,</v>
      </c>
      <c r="Q211" s="6"/>
      <c r="R211" s="6"/>
    </row>
    <row r="212">
      <c r="A212" s="5">
        <f>IFERROR(__xludf.DUMMYFUNCTION("""COMPUTED_VALUE"""),211.0)</f>
        <v>211</v>
      </c>
      <c r="B212" s="6" t="str">
        <f>IFERROR(__xludf.DUMMYFUNCTION("""COMPUTED_VALUE"""),"STUDI PENGARUH CORPORATE SOCIAL RESPONSIBILITY PERUSAHAAN FOOD AND BEVERAGE PADA BEI TAHUN 2015-2019")</f>
        <v>STUDI PENGARUH CORPORATE SOCIAL RESPONSIBILITY PERUSAHAAN FOOD AND BEVERAGE PADA BEI TAHUN 2015-2019</v>
      </c>
      <c r="C212" s="7">
        <f>IFERROR(__xludf.DUMMYFUNCTION("""COMPUTED_VALUE"""),2021.0)</f>
        <v>2021</v>
      </c>
      <c r="D212" s="8" t="str">
        <f>IFERROR(__xludf.DUMMYFUNCTION("""COMPUTED_VALUE"""),"2021/2022")</f>
        <v>2021/2022</v>
      </c>
      <c r="E212" s="9">
        <f>IFERROR(__xludf.DUMMYFUNCTION("""COMPUTED_VALUE"""),44559.0)</f>
        <v>44559</v>
      </c>
      <c r="F212" s="5" t="str">
        <f>IFERROR(__xludf.DUMMYFUNCTION("""COMPUTED_VALUE"""),"Ganjil")</f>
        <v>Ganjil</v>
      </c>
      <c r="G212" s="5" t="str">
        <f>IFERROR(__xludf.DUMMYFUNCTION("""COMPUTED_VALUE"""),"Akuntansi")</f>
        <v>Akuntansi</v>
      </c>
      <c r="H212" s="10" t="str">
        <f>IFERROR(__xludf.DUMMYFUNCTION("""COMPUTED_VALUE"""),"Mahasiswa")</f>
        <v>Mahasiswa</v>
      </c>
      <c r="I212" s="6" t="str">
        <f>IFERROR(__xludf.DUMMYFUNCTION("""COMPUTED_VALUE"""),"Queen Wandan Larasati")</f>
        <v>Queen Wandan Larasati</v>
      </c>
      <c r="J212" s="6" t="str">
        <f>IFERROR(__xludf.DUMMYFUNCTION("""COMPUTED_VALUE"""),"Arif Nugroho Rachman")</f>
        <v>Arif Nugroho Rachman</v>
      </c>
      <c r="K212" s="6"/>
      <c r="L212" s="6"/>
      <c r="M212" s="6"/>
      <c r="N212" s="6"/>
      <c r="O212" s="6"/>
      <c r="P212" s="10" t="str">
        <f>IFERROR(__xludf.DUMMYFUNCTION("""COMPUTED_VALUE"""),"Queen Wandan Larasati,Arif Nugroho Rachman,,")</f>
        <v>Queen Wandan Larasati,Arif Nugroho Rachman,,</v>
      </c>
      <c r="Q212" s="6"/>
      <c r="R212" s="6"/>
    </row>
    <row r="213">
      <c r="A213" s="5">
        <f>IFERROR(__xludf.DUMMYFUNCTION("""COMPUTED_VALUE"""),212.0)</f>
        <v>212</v>
      </c>
      <c r="B213" s="6" t="str">
        <f>IFERROR(__xludf.DUMMYFUNCTION("""COMPUTED_VALUE"""),"PERSEPSI WAJIB PAJAK TENTANG PP NOMOR 23 TAHUN 2018, KESADARAN WAJIB PAJAK, PEMAHAMAN PERATURAN, DAN TARIF PAJAK TERHADAP KEPATUHAN WAJIB PAJAK E-COMMERCE DI KOTA SURAKARTA")</f>
        <v>PERSEPSI WAJIB PAJAK TENTANG PP NOMOR 23 TAHUN 2018, KESADARAN WAJIB PAJAK, PEMAHAMAN PERATURAN, DAN TARIF PAJAK TERHADAP KEPATUHAN WAJIB PAJAK E-COMMERCE DI KOTA SURAKARTA</v>
      </c>
      <c r="C213" s="7">
        <f>IFERROR(__xludf.DUMMYFUNCTION("""COMPUTED_VALUE"""),2021.0)</f>
        <v>2021</v>
      </c>
      <c r="D213" s="8" t="str">
        <f>IFERROR(__xludf.DUMMYFUNCTION("""COMPUTED_VALUE"""),"2021/2022")</f>
        <v>2021/2022</v>
      </c>
      <c r="E213" s="9">
        <f>IFERROR(__xludf.DUMMYFUNCTION("""COMPUTED_VALUE"""),44559.0)</f>
        <v>44559</v>
      </c>
      <c r="F213" s="5" t="str">
        <f>IFERROR(__xludf.DUMMYFUNCTION("""COMPUTED_VALUE"""),"Ganjil")</f>
        <v>Ganjil</v>
      </c>
      <c r="G213" s="5" t="str">
        <f>IFERROR(__xludf.DUMMYFUNCTION("""COMPUTED_VALUE"""),"Akuntansi")</f>
        <v>Akuntansi</v>
      </c>
      <c r="H213" s="10" t="str">
        <f>IFERROR(__xludf.DUMMYFUNCTION("""COMPUTED_VALUE"""),"Mahasiswa")</f>
        <v>Mahasiswa</v>
      </c>
      <c r="I213" s="6" t="str">
        <f>IFERROR(__xludf.DUMMYFUNCTION("""COMPUTED_VALUE"""),"Dewi Kus Fajarini")</f>
        <v>Dewi Kus Fajarini</v>
      </c>
      <c r="J213" s="6" t="str">
        <f>IFERROR(__xludf.DUMMYFUNCTION("""COMPUTED_VALUE"""),"Nur Kholis")</f>
        <v>Nur Kholis</v>
      </c>
      <c r="K213" s="6"/>
      <c r="L213" s="6"/>
      <c r="M213" s="6"/>
      <c r="N213" s="6"/>
      <c r="O213" s="6"/>
      <c r="P213" s="10" t="str">
        <f>IFERROR(__xludf.DUMMYFUNCTION("""COMPUTED_VALUE"""),"Dewi Kus Fajarini,Nur Kholis,,")</f>
        <v>Dewi Kus Fajarini,Nur Kholis,,</v>
      </c>
      <c r="Q213" s="6"/>
      <c r="R213" s="6"/>
    </row>
    <row r="214">
      <c r="A214" s="5">
        <f>IFERROR(__xludf.DUMMYFUNCTION("""COMPUTED_VALUE"""),213.0)</f>
        <v>213</v>
      </c>
      <c r="B214" s="6" t="str">
        <f>IFERROR(__xludf.DUMMYFUNCTION("""COMPUTED_VALUE"""),"Pemberdayaan UMKM Kopipa. Id melalui Limbah Kopi menjadi Teh Kemasan di Surakarta")</f>
        <v>Pemberdayaan UMKM Kopipa. Id melalui Limbah Kopi menjadi Teh Kemasan di Surakarta</v>
      </c>
      <c r="C214" s="7">
        <f>IFERROR(__xludf.DUMMYFUNCTION("""COMPUTED_VALUE"""),2021.0)</f>
        <v>2021</v>
      </c>
      <c r="D214" s="8" t="str">
        <f>IFERROR(__xludf.DUMMYFUNCTION("""COMPUTED_VALUE"""),"2021/2022")</f>
        <v>2021/2022</v>
      </c>
      <c r="E214" s="9">
        <f>IFERROR(__xludf.DUMMYFUNCTION("""COMPUTED_VALUE"""),44559.0)</f>
        <v>44559</v>
      </c>
      <c r="F214" s="5" t="str">
        <f>IFERROR(__xludf.DUMMYFUNCTION("""COMPUTED_VALUE"""),"Ganjil")</f>
        <v>Ganjil</v>
      </c>
      <c r="G214" s="5" t="str">
        <f>IFERROR(__xludf.DUMMYFUNCTION("""COMPUTED_VALUE"""),"Manajemen")</f>
        <v>Manajemen</v>
      </c>
      <c r="H214" s="10" t="str">
        <f>IFERROR(__xludf.DUMMYFUNCTION("""COMPUTED_VALUE"""),"Dosen")</f>
        <v>Dosen</v>
      </c>
      <c r="I214" s="6" t="str">
        <f>IFERROR(__xludf.DUMMYFUNCTION("""COMPUTED_VALUE"""),"Ari Susanti")</f>
        <v>Ari Susanti</v>
      </c>
      <c r="J214" s="6" t="str">
        <f>IFERROR(__xludf.DUMMYFUNCTION("""COMPUTED_VALUE"""),"Aditya Liliyan")</f>
        <v>Aditya Liliyan</v>
      </c>
      <c r="K214" s="6"/>
      <c r="L214" s="6"/>
      <c r="M214" s="6"/>
      <c r="N214" s="6"/>
      <c r="O214" s="6"/>
      <c r="P214" s="10" t="str">
        <f>IFERROR(__xludf.DUMMYFUNCTION("""COMPUTED_VALUE"""),"Ari Susanti,Aditya Liliyan,,")</f>
        <v>Ari Susanti,Aditya Liliyan,,</v>
      </c>
      <c r="Q214" s="11" t="str">
        <f>IFERROR(__xludf.DUMMYFUNCTION("""COMPUTED_VALUE"""),"https://jurnal.pknstan.ac.id/index.php/sembadha/article/view/1473")</f>
        <v>https://jurnal.pknstan.ac.id/index.php/sembadha/article/view/1473</v>
      </c>
      <c r="R214" s="6"/>
    </row>
    <row r="215">
      <c r="A215" s="5">
        <f>IFERROR(__xludf.DUMMYFUNCTION("""COMPUTED_VALUE"""),214.0)</f>
        <v>214</v>
      </c>
      <c r="B215" s="6" t="str">
        <f>IFERROR(__xludf.DUMMYFUNCTION("""COMPUTED_VALUE"""),"Personal Financial Behavior in Surakarta Students")</f>
        <v>Personal Financial Behavior in Surakarta Students</v>
      </c>
      <c r="C215" s="7">
        <f>IFERROR(__xludf.DUMMYFUNCTION("""COMPUTED_VALUE"""),2021.0)</f>
        <v>2021</v>
      </c>
      <c r="D215" s="8" t="str">
        <f>IFERROR(__xludf.DUMMYFUNCTION("""COMPUTED_VALUE"""),"2021/2022")</f>
        <v>2021/2022</v>
      </c>
      <c r="E215" s="9">
        <f>IFERROR(__xludf.DUMMYFUNCTION("""COMPUTED_VALUE"""),44559.0)</f>
        <v>44559</v>
      </c>
      <c r="F215" s="5" t="str">
        <f>IFERROR(__xludf.DUMMYFUNCTION("""COMPUTED_VALUE"""),"Ganjil")</f>
        <v>Ganjil</v>
      </c>
      <c r="G215" s="5" t="str">
        <f>IFERROR(__xludf.DUMMYFUNCTION("""COMPUTED_VALUE"""),"Manajemen")</f>
        <v>Manajemen</v>
      </c>
      <c r="H215" s="10" t="str">
        <f>IFERROR(__xludf.DUMMYFUNCTION("""COMPUTED_VALUE"""),"Dosen")</f>
        <v>Dosen</v>
      </c>
      <c r="I215" s="6" t="str">
        <f>IFERROR(__xludf.DUMMYFUNCTION("""COMPUTED_VALUE"""),"Ari Susanti")</f>
        <v>Ari Susanti</v>
      </c>
      <c r="J215" s="6" t="str">
        <f>IFERROR(__xludf.DUMMYFUNCTION("""COMPUTED_VALUE"""),"Septiana Widiastuti")</f>
        <v>Septiana Widiastuti</v>
      </c>
      <c r="K215" s="6"/>
      <c r="L215" s="6"/>
      <c r="M215" s="6"/>
      <c r="N215" s="6"/>
      <c r="O215" s="6"/>
      <c r="P215" s="10" t="str">
        <f>IFERROR(__xludf.DUMMYFUNCTION("""COMPUTED_VALUE"""),"Ari Susanti,Septiana Widiastuti,,")</f>
        <v>Ari Susanti,Septiana Widiastuti,,</v>
      </c>
      <c r="Q215" s="11" t="str">
        <f>IFERROR(__xludf.DUMMYFUNCTION("""COMPUTED_VALUE"""),"https://journals.researchsynergypress.com/index.php/ijebce/article/view/448")</f>
        <v>https://journals.researchsynergypress.com/index.php/ijebce/article/view/448</v>
      </c>
      <c r="R215" s="6"/>
    </row>
    <row r="216">
      <c r="A216" s="5">
        <f>IFERROR(__xludf.DUMMYFUNCTION("""COMPUTED_VALUE"""),215.0)</f>
        <v>215</v>
      </c>
      <c r="B216" s="6" t="str">
        <f>IFERROR(__xludf.DUMMYFUNCTION("""COMPUTED_VALUE"""),"The Effectiveness Of Succession in A Family Business: Case Study on Batik Industry in Indonesia")</f>
        <v>The Effectiveness Of Succession in A Family Business: Case Study on Batik Industry in Indonesia</v>
      </c>
      <c r="C216" s="7">
        <f>IFERROR(__xludf.DUMMYFUNCTION("""COMPUTED_VALUE"""),2021.0)</f>
        <v>2021</v>
      </c>
      <c r="D216" s="8" t="str">
        <f>IFERROR(__xludf.DUMMYFUNCTION("""COMPUTED_VALUE"""),"2021/2022")</f>
        <v>2021/2022</v>
      </c>
      <c r="E216" s="9">
        <f>IFERROR(__xludf.DUMMYFUNCTION("""COMPUTED_VALUE"""),44559.0)</f>
        <v>44559</v>
      </c>
      <c r="F216" s="5" t="str">
        <f>IFERROR(__xludf.DUMMYFUNCTION("""COMPUTED_VALUE"""),"Ganjil")</f>
        <v>Ganjil</v>
      </c>
      <c r="G216" s="5" t="str">
        <f>IFERROR(__xludf.DUMMYFUNCTION("""COMPUTED_VALUE"""),"Manajemen")</f>
        <v>Manajemen</v>
      </c>
      <c r="H216" s="10" t="str">
        <f>IFERROR(__xludf.DUMMYFUNCTION("""COMPUTED_VALUE"""),"Dosen")</f>
        <v>Dosen</v>
      </c>
      <c r="I216" s="6" t="str">
        <f>IFERROR(__xludf.DUMMYFUNCTION("""COMPUTED_VALUE"""),"Istiatin")</f>
        <v>Istiatin</v>
      </c>
      <c r="J216" s="6" t="str">
        <f>IFERROR(__xludf.DUMMYFUNCTION("""COMPUTED_VALUE"""),"Ari Susanti")</f>
        <v>Ari Susanti</v>
      </c>
      <c r="K216" s="6"/>
      <c r="L216" s="6"/>
      <c r="M216" s="6"/>
      <c r="N216" s="6"/>
      <c r="O216" s="6"/>
      <c r="P216" s="10" t="str">
        <f>IFERROR(__xludf.DUMMYFUNCTION("""COMPUTED_VALUE"""),"Istiatin,Ari Susanti,,")</f>
        <v>Istiatin,Ari Susanti,,</v>
      </c>
      <c r="Q216" s="11" t="str">
        <f>IFERROR(__xludf.DUMMYFUNCTION("""COMPUTED_VALUE"""),"https://jurnal.stie-aas.ac.id/index.php/IJEBAR/article/view/2092")</f>
        <v>https://jurnal.stie-aas.ac.id/index.php/IJEBAR/article/view/2092</v>
      </c>
      <c r="R216" s="6"/>
    </row>
    <row r="217">
      <c r="A217" s="5">
        <f>IFERROR(__xludf.DUMMYFUNCTION("""COMPUTED_VALUE"""),216.0)</f>
        <v>216</v>
      </c>
      <c r="B217" s="6" t="str">
        <f>IFERROR(__xludf.DUMMYFUNCTION("""COMPUTED_VALUE"""),"Antesenden Keputusan Pembelian Tanaman Hias pada Masa Pandemi di Surakarta")</f>
        <v>Antesenden Keputusan Pembelian Tanaman Hias pada Masa Pandemi di Surakarta</v>
      </c>
      <c r="C217" s="7">
        <f>IFERROR(__xludf.DUMMYFUNCTION("""COMPUTED_VALUE"""),2021.0)</f>
        <v>2021</v>
      </c>
      <c r="D217" s="8" t="str">
        <f>IFERROR(__xludf.DUMMYFUNCTION("""COMPUTED_VALUE"""),"2021/2022")</f>
        <v>2021/2022</v>
      </c>
      <c r="E217" s="9">
        <f>IFERROR(__xludf.DUMMYFUNCTION("""COMPUTED_VALUE"""),44559.0)</f>
        <v>44559</v>
      </c>
      <c r="F217" s="5" t="str">
        <f>IFERROR(__xludf.DUMMYFUNCTION("""COMPUTED_VALUE"""),"Ganjil")</f>
        <v>Ganjil</v>
      </c>
      <c r="G217" s="5" t="str">
        <f>IFERROR(__xludf.DUMMYFUNCTION("""COMPUTED_VALUE"""),"Manajemen")</f>
        <v>Manajemen</v>
      </c>
      <c r="H217" s="10" t="str">
        <f>IFERROR(__xludf.DUMMYFUNCTION("""COMPUTED_VALUE"""),"Mahasiswa")</f>
        <v>Mahasiswa</v>
      </c>
      <c r="I217" s="6" t="str">
        <f>IFERROR(__xludf.DUMMYFUNCTION("""COMPUTED_VALUE"""),"Rizki Putri Damayanti")</f>
        <v>Rizki Putri Damayanti</v>
      </c>
      <c r="J217" s="6" t="str">
        <f>IFERROR(__xludf.DUMMYFUNCTION("""COMPUTED_VALUE"""),"Ari Susanti")</f>
        <v>Ari Susanti</v>
      </c>
      <c r="K217" s="6"/>
      <c r="L217" s="6"/>
      <c r="M217" s="6"/>
      <c r="N217" s="6"/>
      <c r="O217" s="6"/>
      <c r="P217" s="10" t="str">
        <f>IFERROR(__xludf.DUMMYFUNCTION("""COMPUTED_VALUE"""),"Rizki Putri Damayanti,Ari Susanti,,")</f>
        <v>Rizki Putri Damayanti,Ari Susanti,,</v>
      </c>
      <c r="Q217" s="11" t="str">
        <f>IFERROR(__xludf.DUMMYFUNCTION("""COMPUTED_VALUE"""),"https://plj.ac.id/ojs/index.php/jrlab/article/view/439")</f>
        <v>https://plj.ac.id/ojs/index.php/jrlab/article/view/439</v>
      </c>
      <c r="R217" s="6"/>
    </row>
    <row r="218">
      <c r="A218" s="5">
        <f>IFERROR(__xludf.DUMMYFUNCTION("""COMPUTED_VALUE"""),217.0)</f>
        <v>217</v>
      </c>
      <c r="B218" s="6" t="str">
        <f>IFERROR(__xludf.DUMMYFUNCTION("""COMPUTED_VALUE"""),"Pengaruh Citra Merek, Kualitas Produk, Media Sosial dan Harga terhadap Minat Beli Konsumen pada Produk Brand Wardah")</f>
        <v>Pengaruh Citra Merek, Kualitas Produk, Media Sosial dan Harga terhadap Minat Beli Konsumen pada Produk Brand Wardah</v>
      </c>
      <c r="C218" s="7">
        <f>IFERROR(__xludf.DUMMYFUNCTION("""COMPUTED_VALUE"""),2021.0)</f>
        <v>2021</v>
      </c>
      <c r="D218" s="8" t="str">
        <f>IFERROR(__xludf.DUMMYFUNCTION("""COMPUTED_VALUE"""),"2021/2022")</f>
        <v>2021/2022</v>
      </c>
      <c r="E218" s="9">
        <f>IFERROR(__xludf.DUMMYFUNCTION("""COMPUTED_VALUE"""),44559.0)</f>
        <v>44559</v>
      </c>
      <c r="F218" s="5" t="str">
        <f>IFERROR(__xludf.DUMMYFUNCTION("""COMPUTED_VALUE"""),"Ganjil")</f>
        <v>Ganjil</v>
      </c>
      <c r="G218" s="5" t="str">
        <f>IFERROR(__xludf.DUMMYFUNCTION("""COMPUTED_VALUE"""),"")</f>
        <v/>
      </c>
      <c r="H218" s="10" t="str">
        <f>IFERROR(__xludf.DUMMYFUNCTION("""COMPUTED_VALUE"""),"Mahasiswa")</f>
        <v>Mahasiswa</v>
      </c>
      <c r="I218" s="6" t="str">
        <f>IFERROR(__xludf.DUMMYFUNCTION("""COMPUTED_VALUE"""),"Yemima Marvell Geraldine")</f>
        <v>Yemima Marvell Geraldine</v>
      </c>
      <c r="J218" s="6"/>
      <c r="K218" s="6"/>
      <c r="L218" s="6"/>
      <c r="M218" s="6"/>
      <c r="N218" s="6"/>
      <c r="O218" s="6"/>
      <c r="P218" s="10" t="str">
        <f>IFERROR(__xludf.DUMMYFUNCTION("""COMPUTED_VALUE"""),"Yemima Marvell Geraldine,,,")</f>
        <v>Yemima Marvell Geraldine,,,</v>
      </c>
      <c r="Q218" s="11" t="str">
        <f>IFERROR(__xludf.DUMMYFUNCTION("""COMPUTED_VALUE"""),"https://ejournals.umma.ac.id/index.php/point/article/view/880")</f>
        <v>https://ejournals.umma.ac.id/index.php/point/article/view/880</v>
      </c>
      <c r="R218" s="6"/>
    </row>
    <row r="219">
      <c r="A219" s="5">
        <f>IFERROR(__xludf.DUMMYFUNCTION("""COMPUTED_VALUE"""),218.0)</f>
        <v>218</v>
      </c>
      <c r="B219" s="6" t="str">
        <f>IFERROR(__xludf.DUMMYFUNCTION("""COMPUTED_VALUE"""),"Pengaruh Kualitas Pelayanan, Harga, dan Citra Merek Terhadap Kepuasan Pelanggan Jasa Transportasi Online Grab")</f>
        <v>Pengaruh Kualitas Pelayanan, Harga, dan Citra Merek Terhadap Kepuasan Pelanggan Jasa Transportasi Online Grab</v>
      </c>
      <c r="C219" s="7">
        <f>IFERROR(__xludf.DUMMYFUNCTION("""COMPUTED_VALUE"""),2021.0)</f>
        <v>2021</v>
      </c>
      <c r="D219" s="8" t="str">
        <f>IFERROR(__xludf.DUMMYFUNCTION("""COMPUTED_VALUE"""),"2021/2022")</f>
        <v>2021/2022</v>
      </c>
      <c r="E219" s="9">
        <f>IFERROR(__xludf.DUMMYFUNCTION("""COMPUTED_VALUE"""),44559.0)</f>
        <v>44559</v>
      </c>
      <c r="F219" s="5" t="str">
        <f>IFERROR(__xludf.DUMMYFUNCTION("""COMPUTED_VALUE"""),"Ganjil")</f>
        <v>Ganjil</v>
      </c>
      <c r="G219" s="5" t="str">
        <f>IFERROR(__xludf.DUMMYFUNCTION("""COMPUTED_VALUE"""),"Manajemen")</f>
        <v>Manajemen</v>
      </c>
      <c r="H219" s="10" t="str">
        <f>IFERROR(__xludf.DUMMYFUNCTION("""COMPUTED_VALUE"""),"Mahasiswa")</f>
        <v>Mahasiswa</v>
      </c>
      <c r="I219" s="6" t="str">
        <f>IFERROR(__xludf.DUMMYFUNCTION("""COMPUTED_VALUE"""),"Steffany Revina Wulandari")</f>
        <v>Steffany Revina Wulandari</v>
      </c>
      <c r="J219" s="6" t="str">
        <f>IFERROR(__xludf.DUMMYFUNCTION("""COMPUTED_VALUE"""),"Ari Susanti")</f>
        <v>Ari Susanti</v>
      </c>
      <c r="K219" s="6"/>
      <c r="L219" s="6"/>
      <c r="M219" s="6"/>
      <c r="N219" s="6"/>
      <c r="O219" s="6"/>
      <c r="P219" s="10" t="str">
        <f>IFERROR(__xludf.DUMMYFUNCTION("""COMPUTED_VALUE"""),"Steffany Revina Wulandari,Ari Susanti,,")</f>
        <v>Steffany Revina Wulandari,Ari Susanti,,</v>
      </c>
      <c r="Q219" s="11" t="str">
        <f>IFERROR(__xludf.DUMMYFUNCTION("""COMPUTED_VALUE"""),"https://journal.universitasbumigora.ac.id/index.php/target/article/view/1169")</f>
        <v>https://journal.universitasbumigora.ac.id/index.php/target/article/view/1169</v>
      </c>
      <c r="R219" s="6"/>
    </row>
    <row r="220">
      <c r="A220" s="5">
        <f>IFERROR(__xludf.DUMMYFUNCTION("""COMPUTED_VALUE"""),219.0)</f>
        <v>219</v>
      </c>
      <c r="B220" s="6" t="str">
        <f>IFERROR(__xludf.DUMMYFUNCTION("""COMPUTED_VALUE"""),"Pengaruh Citra Merk, Kualitas Produk, Harga, dan Promosi Terhadap Kepuasan Konsumen Pengguna Motor Honda Beat")</f>
        <v>Pengaruh Citra Merk, Kualitas Produk, Harga, dan Promosi Terhadap Kepuasan Konsumen Pengguna Motor Honda Beat</v>
      </c>
      <c r="C220" s="7">
        <f>IFERROR(__xludf.DUMMYFUNCTION("""COMPUTED_VALUE"""),2021.0)</f>
        <v>2021</v>
      </c>
      <c r="D220" s="8" t="str">
        <f>IFERROR(__xludf.DUMMYFUNCTION("""COMPUTED_VALUE"""),"2021/2022")</f>
        <v>2021/2022</v>
      </c>
      <c r="E220" s="9">
        <f>IFERROR(__xludf.DUMMYFUNCTION("""COMPUTED_VALUE"""),44559.0)</f>
        <v>44559</v>
      </c>
      <c r="F220" s="5" t="str">
        <f>IFERROR(__xludf.DUMMYFUNCTION("""COMPUTED_VALUE"""),"Ganjil")</f>
        <v>Ganjil</v>
      </c>
      <c r="G220" s="5" t="str">
        <f>IFERROR(__xludf.DUMMYFUNCTION("""COMPUTED_VALUE"""),"Manajemen")</f>
        <v>Manajemen</v>
      </c>
      <c r="H220" s="10" t="str">
        <f>IFERROR(__xludf.DUMMYFUNCTION("""COMPUTED_VALUE"""),"Mahasiswa")</f>
        <v>Mahasiswa</v>
      </c>
      <c r="I220" s="6" t="str">
        <f>IFERROR(__xludf.DUMMYFUNCTION("""COMPUTED_VALUE"""),"Agus Hariyanto")</f>
        <v>Agus Hariyanto</v>
      </c>
      <c r="J220" s="6" t="str">
        <f>IFERROR(__xludf.DUMMYFUNCTION("""COMPUTED_VALUE"""),"Ari Susanti")</f>
        <v>Ari Susanti</v>
      </c>
      <c r="K220" s="6"/>
      <c r="L220" s="6"/>
      <c r="M220" s="6"/>
      <c r="N220" s="6"/>
      <c r="O220" s="6"/>
      <c r="P220" s="10" t="str">
        <f>IFERROR(__xludf.DUMMYFUNCTION("""COMPUTED_VALUE"""),"Agus Hariyanto,Ari Susanti,,")</f>
        <v>Agus Hariyanto,Ari Susanti,,</v>
      </c>
      <c r="Q220" s="11" t="str">
        <f>IFERROR(__xludf.DUMMYFUNCTION("""COMPUTED_VALUE"""),"https://journal.universitasbumigora.ac.id/index.php/target/article/view/1196")</f>
        <v>https://journal.universitasbumigora.ac.id/index.php/target/article/view/1196</v>
      </c>
      <c r="R220" s="6"/>
    </row>
    <row r="221">
      <c r="A221" s="5">
        <f>IFERROR(__xludf.DUMMYFUNCTION("""COMPUTED_VALUE"""),220.0)</f>
        <v>220</v>
      </c>
      <c r="B221" s="6" t="str">
        <f>IFERROR(__xludf.DUMMYFUNCTION("""COMPUTED_VALUE"""),"Factors Affecting The Financial Literacy During Pandemic")</f>
        <v>Factors Affecting The Financial Literacy During Pandemic</v>
      </c>
      <c r="C221" s="7">
        <f>IFERROR(__xludf.DUMMYFUNCTION("""COMPUTED_VALUE"""),2021.0)</f>
        <v>2021</v>
      </c>
      <c r="D221" s="8" t="str">
        <f>IFERROR(__xludf.DUMMYFUNCTION("""COMPUTED_VALUE"""),"2021/2022")</f>
        <v>2021/2022</v>
      </c>
      <c r="E221" s="9">
        <f>IFERROR(__xludf.DUMMYFUNCTION("""COMPUTED_VALUE"""),44559.0)</f>
        <v>44559</v>
      </c>
      <c r="F221" s="5" t="str">
        <f>IFERROR(__xludf.DUMMYFUNCTION("""COMPUTED_VALUE"""),"Ganjil")</f>
        <v>Ganjil</v>
      </c>
      <c r="G221" s="5" t="str">
        <f>IFERROR(__xludf.DUMMYFUNCTION("""COMPUTED_VALUE"""),"Manajemen")</f>
        <v>Manajemen</v>
      </c>
      <c r="H221" s="10" t="str">
        <f>IFERROR(__xludf.DUMMYFUNCTION("""COMPUTED_VALUE"""),"Dosen")</f>
        <v>Dosen</v>
      </c>
      <c r="I221" s="6" t="str">
        <f>IFERROR(__xludf.DUMMYFUNCTION("""COMPUTED_VALUE"""),"Ari Susanti")</f>
        <v>Ari Susanti</v>
      </c>
      <c r="J221" s="6" t="str">
        <f>IFERROR(__xludf.DUMMYFUNCTION("""COMPUTED_VALUE"""),"Gizka Arsita")</f>
        <v>Gizka Arsita</v>
      </c>
      <c r="K221" s="6"/>
      <c r="L221" s="6"/>
      <c r="M221" s="6"/>
      <c r="N221" s="6"/>
      <c r="O221" s="6"/>
      <c r="P221" s="10" t="str">
        <f>IFERROR(__xludf.DUMMYFUNCTION("""COMPUTED_VALUE"""),"Ari Susanti,Gizka Arsita,,")</f>
        <v>Ari Susanti,Gizka Arsita,,</v>
      </c>
      <c r="Q221" s="11" t="str">
        <f>IFERROR(__xludf.DUMMYFUNCTION("""COMPUTED_VALUE"""),"https://profesionalmudacendekia.com/index.php/jbmr/article/view/166")</f>
        <v>https://profesionalmudacendekia.com/index.php/jbmr/article/view/166</v>
      </c>
      <c r="R221" s="6"/>
    </row>
    <row r="222">
      <c r="A222" s="5">
        <f>IFERROR(__xludf.DUMMYFUNCTION("""COMPUTED_VALUE"""),221.0)</f>
        <v>221</v>
      </c>
      <c r="B222" s="6" t="str">
        <f>IFERROR(__xludf.DUMMYFUNCTION("""COMPUTED_VALUE"""),"Pengaruh Kualitas Produk, Harga, dan Kualitas Pelayanan Terhadap Kepuasan Konsumen Pada Cafe Ko. We. Cok Di Solo")</f>
        <v>Pengaruh Kualitas Produk, Harga, dan Kualitas Pelayanan Terhadap Kepuasan Konsumen Pada Cafe Ko. We. Cok Di Solo</v>
      </c>
      <c r="C222" s="7">
        <f>IFERROR(__xludf.DUMMYFUNCTION("""COMPUTED_VALUE"""),2021.0)</f>
        <v>2021</v>
      </c>
      <c r="D222" s="8" t="str">
        <f>IFERROR(__xludf.DUMMYFUNCTION("""COMPUTED_VALUE"""),"2021/2022")</f>
        <v>2021/2022</v>
      </c>
      <c r="E222" s="9">
        <f>IFERROR(__xludf.DUMMYFUNCTION("""COMPUTED_VALUE"""),44559.0)</f>
        <v>44559</v>
      </c>
      <c r="F222" s="5" t="str">
        <f>IFERROR(__xludf.DUMMYFUNCTION("""COMPUTED_VALUE"""),"Ganjil")</f>
        <v>Ganjil</v>
      </c>
      <c r="G222" s="5" t="str">
        <f>IFERROR(__xludf.DUMMYFUNCTION("""COMPUTED_VALUE"""),"Manajemen")</f>
        <v>Manajemen</v>
      </c>
      <c r="H222" s="10" t="str">
        <f>IFERROR(__xludf.DUMMYFUNCTION("""COMPUTED_VALUE"""),"Mahasiswa")</f>
        <v>Mahasiswa</v>
      </c>
      <c r="I222" s="6" t="str">
        <f>IFERROR(__xludf.DUMMYFUNCTION("""COMPUTED_VALUE"""),"Evi Laili Kumrotin")</f>
        <v>Evi Laili Kumrotin</v>
      </c>
      <c r="J222" s="6" t="str">
        <f>IFERROR(__xludf.DUMMYFUNCTION("""COMPUTED_VALUE"""),"Ari Susanti")</f>
        <v>Ari Susanti</v>
      </c>
      <c r="K222" s="6"/>
      <c r="L222" s="6"/>
      <c r="M222" s="6"/>
      <c r="N222" s="6"/>
      <c r="O222" s="6"/>
      <c r="P222" s="10" t="str">
        <f>IFERROR(__xludf.DUMMYFUNCTION("""COMPUTED_VALUE"""),"Evi Laili Kumrotin,Ari Susanti,,")</f>
        <v>Evi Laili Kumrotin,Ari Susanti,,</v>
      </c>
      <c r="Q222" s="11" t="str">
        <f>IFERROR(__xludf.DUMMYFUNCTION("""COMPUTED_VALUE"""),"https://ojs.unimal.ac.id/jmi/article/view/4870")</f>
        <v>https://ojs.unimal.ac.id/jmi/article/view/4870</v>
      </c>
      <c r="R222" s="6"/>
    </row>
    <row r="223">
      <c r="A223" s="5">
        <f>IFERROR(__xludf.DUMMYFUNCTION("""COMPUTED_VALUE"""),222.0)</f>
        <v>222</v>
      </c>
      <c r="B223" s="6" t="str">
        <f>IFERROR(__xludf.DUMMYFUNCTION("""COMPUTED_VALUE"""),"Pengaruh Literasi Keuangan, Lifestyle Hedonis, dan Sikap Keuangan Pribadi terhadap Perilaku Keuangan Mahasiswa")</f>
        <v>Pengaruh Literasi Keuangan, Lifestyle Hedonis, dan Sikap Keuangan Pribadi terhadap Perilaku Keuangan Mahasiswa</v>
      </c>
      <c r="C223" s="7">
        <f>IFERROR(__xludf.DUMMYFUNCTION("""COMPUTED_VALUE"""),2021.0)</f>
        <v>2021</v>
      </c>
      <c r="D223" s="8" t="str">
        <f>IFERROR(__xludf.DUMMYFUNCTION("""COMPUTED_VALUE"""),"2021/2022")</f>
        <v>2021/2022</v>
      </c>
      <c r="E223" s="9">
        <f>IFERROR(__xludf.DUMMYFUNCTION("""COMPUTED_VALUE"""),44559.0)</f>
        <v>44559</v>
      </c>
      <c r="F223" s="5" t="str">
        <f>IFERROR(__xludf.DUMMYFUNCTION("""COMPUTED_VALUE"""),"Ganjil")</f>
        <v>Ganjil</v>
      </c>
      <c r="G223" s="5" t="str">
        <f>IFERROR(__xludf.DUMMYFUNCTION("""COMPUTED_VALUE"""),"Manajemen")</f>
        <v>Manajemen</v>
      </c>
      <c r="H223" s="10" t="str">
        <f>IFERROR(__xludf.DUMMYFUNCTION("""COMPUTED_VALUE"""),"Mahasiswa")</f>
        <v>Mahasiswa</v>
      </c>
      <c r="I223" s="6" t="str">
        <f>IFERROR(__xludf.DUMMYFUNCTION("""COMPUTED_VALUE"""),"Fajar Rohmanto")</f>
        <v>Fajar Rohmanto</v>
      </c>
      <c r="J223" s="6" t="str">
        <f>IFERROR(__xludf.DUMMYFUNCTION("""COMPUTED_VALUE"""),"Ari Susanti")</f>
        <v>Ari Susanti</v>
      </c>
      <c r="K223" s="6"/>
      <c r="L223" s="6"/>
      <c r="M223" s="6"/>
      <c r="N223" s="6"/>
      <c r="O223" s="6"/>
      <c r="P223" s="10" t="str">
        <f>IFERROR(__xludf.DUMMYFUNCTION("""COMPUTED_VALUE"""),"Fajar Rohmanto,Ari Susanti,,")</f>
        <v>Fajar Rohmanto,Ari Susanti,,</v>
      </c>
      <c r="Q223" s="11" t="str">
        <f>IFERROR(__xludf.DUMMYFUNCTION("""COMPUTED_VALUE"""),"https://jurnal.ulb.ac.id/index.php/%20ecobisma/article/view/2057")</f>
        <v>https://jurnal.ulb.ac.id/index.php/%20ecobisma/article/view/2057</v>
      </c>
      <c r="R223" s="6"/>
    </row>
    <row r="224">
      <c r="A224" s="5">
        <f>IFERROR(__xludf.DUMMYFUNCTION("""COMPUTED_VALUE"""),223.0)</f>
        <v>223</v>
      </c>
      <c r="B224" s="6" t="str">
        <f>IFERROR(__xludf.DUMMYFUNCTION("""COMPUTED_VALUE"""),"I Want To Be An Entrepreneur”: The Important Role Of Effectiveness Of Entrepreneurship Education And Internal Locus Of Control")</f>
        <v>I Want To Be An Entrepreneur”: The Important Role Of Effectiveness Of Entrepreneurship Education And Internal Locus Of Control</v>
      </c>
      <c r="C224" s="7">
        <f>IFERROR(__xludf.DUMMYFUNCTION("""COMPUTED_VALUE"""),2021.0)</f>
        <v>2021</v>
      </c>
      <c r="D224" s="8" t="str">
        <f>IFERROR(__xludf.DUMMYFUNCTION("""COMPUTED_VALUE"""),"2021/2022")</f>
        <v>2021/2022</v>
      </c>
      <c r="E224" s="9">
        <f>IFERROR(__xludf.DUMMYFUNCTION("""COMPUTED_VALUE"""),44559.0)</f>
        <v>44559</v>
      </c>
      <c r="F224" s="5" t="str">
        <f>IFERROR(__xludf.DUMMYFUNCTION("""COMPUTED_VALUE"""),"Ganjil")</f>
        <v>Ganjil</v>
      </c>
      <c r="G224" s="5" t="str">
        <f>IFERROR(__xludf.DUMMYFUNCTION("""COMPUTED_VALUE"""),"Manajemen")</f>
        <v>Manajemen</v>
      </c>
      <c r="H224" s="10" t="str">
        <f>IFERROR(__xludf.DUMMYFUNCTION("""COMPUTED_VALUE"""),"Dosen")</f>
        <v>Dosen</v>
      </c>
      <c r="I224" s="6" t="str">
        <f>IFERROR(__xludf.DUMMYFUNCTION("""COMPUTED_VALUE"""),"Elia Ardyan")</f>
        <v>Elia Ardyan</v>
      </c>
      <c r="J224" s="6" t="str">
        <f>IFERROR(__xludf.DUMMYFUNCTION("""COMPUTED_VALUE"""),"Ari Susanti")</f>
        <v>Ari Susanti</v>
      </c>
      <c r="K224" s="6"/>
      <c r="L224" s="6"/>
      <c r="M224" s="6"/>
      <c r="N224" s="6"/>
      <c r="O224" s="6"/>
      <c r="P224" s="10" t="str">
        <f>IFERROR(__xludf.DUMMYFUNCTION("""COMPUTED_VALUE"""),"Elia Ardyan,Ari Susanti,,")</f>
        <v>Elia Ardyan,Ari Susanti,,</v>
      </c>
      <c r="Q224" s="11" t="str">
        <f>IFERROR(__xludf.DUMMYFUNCTION("""COMPUTED_VALUE"""),"http://dx.doi.org/10.37715/jee.v10i1.1867")</f>
        <v>http://dx.doi.org/10.37715/jee.v10i1.1867</v>
      </c>
      <c r="R224" s="6"/>
    </row>
    <row r="225">
      <c r="A225" s="5">
        <f>IFERROR(__xludf.DUMMYFUNCTION("""COMPUTED_VALUE"""),224.0)</f>
        <v>224</v>
      </c>
      <c r="B225" s="6" t="str">
        <f>IFERROR(__xludf.DUMMYFUNCTION("""COMPUTED_VALUE"""),"Literasi Keuangan, Gaya Hidup, Locus of Control, Dan Parental Income terhadap Perilaku Keuangan Mahasiswa")</f>
        <v>Literasi Keuangan, Gaya Hidup, Locus of Control, Dan Parental Income terhadap Perilaku Keuangan Mahasiswa</v>
      </c>
      <c r="C225" s="7">
        <f>IFERROR(__xludf.DUMMYFUNCTION("""COMPUTED_VALUE"""),2021.0)</f>
        <v>2021</v>
      </c>
      <c r="D225" s="8" t="str">
        <f>IFERROR(__xludf.DUMMYFUNCTION("""COMPUTED_VALUE"""),"2021/2022")</f>
        <v>2021/2022</v>
      </c>
      <c r="E225" s="9">
        <f>IFERROR(__xludf.DUMMYFUNCTION("""COMPUTED_VALUE"""),44559.0)</f>
        <v>44559</v>
      </c>
      <c r="F225" s="5" t="str">
        <f>IFERROR(__xludf.DUMMYFUNCTION("""COMPUTED_VALUE"""),"Ganjil")</f>
        <v>Ganjil</v>
      </c>
      <c r="G225" s="5" t="str">
        <f>IFERROR(__xludf.DUMMYFUNCTION("""COMPUTED_VALUE"""),"Manajemen")</f>
        <v>Manajemen</v>
      </c>
      <c r="H225" s="10" t="str">
        <f>IFERROR(__xludf.DUMMYFUNCTION("""COMPUTED_VALUE"""),"Mahasiswa")</f>
        <v>Mahasiswa</v>
      </c>
      <c r="I225" s="6" t="str">
        <f>IFERROR(__xludf.DUMMYFUNCTION("""COMPUTED_VALUE"""),"Nuraeni Ritakumalasari")</f>
        <v>Nuraeni Ritakumalasari</v>
      </c>
      <c r="J225" s="6" t="str">
        <f>IFERROR(__xludf.DUMMYFUNCTION("""COMPUTED_VALUE"""),"Ari Susanti")</f>
        <v>Ari Susanti</v>
      </c>
      <c r="K225" s="6"/>
      <c r="L225" s="6"/>
      <c r="M225" s="6"/>
      <c r="N225" s="6"/>
      <c r="O225" s="6"/>
      <c r="P225" s="10" t="str">
        <f>IFERROR(__xludf.DUMMYFUNCTION("""COMPUTED_VALUE"""),"Nuraeni Ritakumalasari,Ari Susanti,,")</f>
        <v>Nuraeni Ritakumalasari,Ari Susanti,,</v>
      </c>
      <c r="Q225" s="11" t="str">
        <f>IFERROR(__xludf.DUMMYFUNCTION("""COMPUTED_VALUE"""),"https://journal.unesa.ac.id/index.php/jim/article/view/15787")</f>
        <v>https://journal.unesa.ac.id/index.php/jim/article/view/15787</v>
      </c>
      <c r="R225" s="6"/>
    </row>
    <row r="226">
      <c r="A226" s="5">
        <f>IFERROR(__xludf.DUMMYFUNCTION("""COMPUTED_VALUE"""),225.0)</f>
        <v>225</v>
      </c>
      <c r="B226" s="6" t="str">
        <f>IFERROR(__xludf.DUMMYFUNCTION("""COMPUTED_VALUE"""),"The Effect Of Product Quality, Innovation And Price To Purchasing Decisions Of Noolde Products")</f>
        <v>The Effect Of Product Quality, Innovation And Price To Purchasing Decisions Of Noolde Products</v>
      </c>
      <c r="C226" s="7">
        <f>IFERROR(__xludf.DUMMYFUNCTION("""COMPUTED_VALUE"""),2021.0)</f>
        <v>2021</v>
      </c>
      <c r="D226" s="8" t="str">
        <f>IFERROR(__xludf.DUMMYFUNCTION("""COMPUTED_VALUE"""),"2021/2022")</f>
        <v>2021/2022</v>
      </c>
      <c r="E226" s="9">
        <f>IFERROR(__xludf.DUMMYFUNCTION("""COMPUTED_VALUE"""),44559.0)</f>
        <v>44559</v>
      </c>
      <c r="F226" s="5" t="str">
        <f>IFERROR(__xludf.DUMMYFUNCTION("""COMPUTED_VALUE"""),"Ganjil")</f>
        <v>Ganjil</v>
      </c>
      <c r="G226" s="5" t="str">
        <f>IFERROR(__xludf.DUMMYFUNCTION("""COMPUTED_VALUE"""),"Manajemen")</f>
        <v>Manajemen</v>
      </c>
      <c r="H226" s="10" t="str">
        <f>IFERROR(__xludf.DUMMYFUNCTION("""COMPUTED_VALUE"""),"Mahasiswa")</f>
        <v>Mahasiswa</v>
      </c>
      <c r="I226" s="6" t="str">
        <f>IFERROR(__xludf.DUMMYFUNCTION("""COMPUTED_VALUE"""),"LISA ADETIYA")</f>
        <v>LISA ADETIYA</v>
      </c>
      <c r="J226" s="6" t="str">
        <f>IFERROR(__xludf.DUMMYFUNCTION("""COMPUTED_VALUE"""),"Ginanjar Rahmawan")</f>
        <v>Ginanjar Rahmawan</v>
      </c>
      <c r="K226" s="6"/>
      <c r="L226" s="6"/>
      <c r="M226" s="6"/>
      <c r="N226" s="6"/>
      <c r="O226" s="6"/>
      <c r="P226" s="10" t="str">
        <f>IFERROR(__xludf.DUMMYFUNCTION("""COMPUTED_VALUE"""),"LISA ADETIYA,Ginanjar Rahmawan,,")</f>
        <v>LISA ADETIYA,Ginanjar Rahmawan,,</v>
      </c>
      <c r="Q226" s="11" t="str">
        <f>IFERROR(__xludf.DUMMYFUNCTION("""COMPUTED_VALUE"""),"https://multisciencejournal.com/index.php/ijm/article/view/141")</f>
        <v>https://multisciencejournal.com/index.php/ijm/article/view/141</v>
      </c>
      <c r="R226" s="6"/>
    </row>
    <row r="227">
      <c r="A227" s="5">
        <f>IFERROR(__xludf.DUMMYFUNCTION("""COMPUTED_VALUE"""),226.0)</f>
        <v>226</v>
      </c>
      <c r="B227" s="6" t="str">
        <f>IFERROR(__xludf.DUMMYFUNCTION("""COMPUTED_VALUE"""),"Determination Factors Of Buying Decision At The Indonesian Cigarette Industry")</f>
        <v>Determination Factors Of Buying Decision At The Indonesian Cigarette Industry</v>
      </c>
      <c r="C227" s="7">
        <f>IFERROR(__xludf.DUMMYFUNCTION("""COMPUTED_VALUE"""),2021.0)</f>
        <v>2021</v>
      </c>
      <c r="D227" s="8" t="str">
        <f>IFERROR(__xludf.DUMMYFUNCTION("""COMPUTED_VALUE"""),"2021/2022")</f>
        <v>2021/2022</v>
      </c>
      <c r="E227" s="9">
        <f>IFERROR(__xludf.DUMMYFUNCTION("""COMPUTED_VALUE"""),44559.0)</f>
        <v>44559</v>
      </c>
      <c r="F227" s="5" t="str">
        <f>IFERROR(__xludf.DUMMYFUNCTION("""COMPUTED_VALUE"""),"Ganjil")</f>
        <v>Ganjil</v>
      </c>
      <c r="G227" s="5" t="str">
        <f>IFERROR(__xludf.DUMMYFUNCTION("""COMPUTED_VALUE"""),"Manajemen")</f>
        <v>Manajemen</v>
      </c>
      <c r="H227" s="10" t="str">
        <f>IFERROR(__xludf.DUMMYFUNCTION("""COMPUTED_VALUE"""),"Mahasiswa")</f>
        <v>Mahasiswa</v>
      </c>
      <c r="I227" s="6" t="str">
        <f>IFERROR(__xludf.DUMMYFUNCTION("""COMPUTED_VALUE"""),"JUN DITA PANGESTU")</f>
        <v>JUN DITA PANGESTU</v>
      </c>
      <c r="J227" s="6" t="str">
        <f>IFERROR(__xludf.DUMMYFUNCTION("""COMPUTED_VALUE"""),"Ginanjar Rahmawan")</f>
        <v>Ginanjar Rahmawan</v>
      </c>
      <c r="K227" s="6"/>
      <c r="L227" s="6"/>
      <c r="M227" s="6"/>
      <c r="N227" s="6"/>
      <c r="O227" s="6"/>
      <c r="P227" s="10" t="str">
        <f>IFERROR(__xludf.DUMMYFUNCTION("""COMPUTED_VALUE"""),"JUN DITA PANGESTU,Ginanjar Rahmawan,,")</f>
        <v>JUN DITA PANGESTU,Ginanjar Rahmawan,,</v>
      </c>
      <c r="Q227" s="11" t="str">
        <f>IFERROR(__xludf.DUMMYFUNCTION("""COMPUTED_VALUE"""),"https://multisciencejournal.com/index.php/ijm/article/view/138")</f>
        <v>https://multisciencejournal.com/index.php/ijm/article/view/138</v>
      </c>
      <c r="R227" s="6"/>
    </row>
    <row r="228">
      <c r="A228" s="5">
        <f>IFERROR(__xludf.DUMMYFUNCTION("""COMPUTED_VALUE"""),227.0)</f>
        <v>227</v>
      </c>
      <c r="B228" s="6" t="str">
        <f>IFERROR(__xludf.DUMMYFUNCTION("""COMPUTED_VALUE"""),"The Influence Of Product Quality, Price, Product Innovation And Brand Image On Purchasing Decisions Of Instant Noodles In Indonesia")</f>
        <v>The Influence Of Product Quality, Price, Product Innovation And Brand Image On Purchasing Decisions Of Instant Noodles In Indonesia</v>
      </c>
      <c r="C228" s="7">
        <f>IFERROR(__xludf.DUMMYFUNCTION("""COMPUTED_VALUE"""),2021.0)</f>
        <v>2021</v>
      </c>
      <c r="D228" s="8" t="str">
        <f>IFERROR(__xludf.DUMMYFUNCTION("""COMPUTED_VALUE"""),"2021/2022")</f>
        <v>2021/2022</v>
      </c>
      <c r="E228" s="9">
        <f>IFERROR(__xludf.DUMMYFUNCTION("""COMPUTED_VALUE"""),44559.0)</f>
        <v>44559</v>
      </c>
      <c r="F228" s="5" t="str">
        <f>IFERROR(__xludf.DUMMYFUNCTION("""COMPUTED_VALUE"""),"Ganjil")</f>
        <v>Ganjil</v>
      </c>
      <c r="G228" s="5" t="str">
        <f>IFERROR(__xludf.DUMMYFUNCTION("""COMPUTED_VALUE"""),"Manajemen")</f>
        <v>Manajemen</v>
      </c>
      <c r="H228" s="10" t="str">
        <f>IFERROR(__xludf.DUMMYFUNCTION("""COMPUTED_VALUE"""),"Mahasiswa")</f>
        <v>Mahasiswa</v>
      </c>
      <c r="I228" s="6" t="str">
        <f>IFERROR(__xludf.DUMMYFUNCTION("""COMPUTED_VALUE"""),"Eka Nur Hidayah")</f>
        <v>Eka Nur Hidayah</v>
      </c>
      <c r="J228" s="6" t="str">
        <f>IFERROR(__xludf.DUMMYFUNCTION("""COMPUTED_VALUE"""),"Ginanjar Rahmawan")</f>
        <v>Ginanjar Rahmawan</v>
      </c>
      <c r="K228" s="6"/>
      <c r="L228" s="6"/>
      <c r="M228" s="6"/>
      <c r="N228" s="6"/>
      <c r="O228" s="6"/>
      <c r="P228" s="10" t="str">
        <f>IFERROR(__xludf.DUMMYFUNCTION("""COMPUTED_VALUE"""),"Eka Nur Hidayah,Ginanjar Rahmawan,,")</f>
        <v>Eka Nur Hidayah,Ginanjar Rahmawan,,</v>
      </c>
      <c r="Q228" s="11" t="str">
        <f>IFERROR(__xludf.DUMMYFUNCTION("""COMPUTED_VALUE"""),"https://www.neliti.com/publications/439409/the-influence-of-product-quality-price-product-innovation-and-brand-image-on-pur")</f>
        <v>https://www.neliti.com/publications/439409/the-influence-of-product-quality-price-product-innovation-and-brand-image-on-pur</v>
      </c>
      <c r="R228" s="6"/>
    </row>
    <row r="229">
      <c r="A229" s="5">
        <f>IFERROR(__xludf.DUMMYFUNCTION("""COMPUTED_VALUE"""),228.0)</f>
        <v>228</v>
      </c>
      <c r="B229" s="6" t="str">
        <f>IFERROR(__xludf.DUMMYFUNCTION("""COMPUTED_VALUE"""),"The Factor Determination Of Online Purchasing Decision On Indonesia Marketplace: Factor Determination Of Online Purchasing Decision On Indonesia Marketplace")</f>
        <v>The Factor Determination Of Online Purchasing Decision On Indonesia Marketplace: Factor Determination Of Online Purchasing Decision On Indonesia Marketplace</v>
      </c>
      <c r="C229" s="7">
        <f>IFERROR(__xludf.DUMMYFUNCTION("""COMPUTED_VALUE"""),2021.0)</f>
        <v>2021</v>
      </c>
      <c r="D229" s="8" t="str">
        <f>IFERROR(__xludf.DUMMYFUNCTION("""COMPUTED_VALUE"""),"2021/2022")</f>
        <v>2021/2022</v>
      </c>
      <c r="E229" s="9">
        <f>IFERROR(__xludf.DUMMYFUNCTION("""COMPUTED_VALUE"""),44559.0)</f>
        <v>44559</v>
      </c>
      <c r="F229" s="5" t="str">
        <f>IFERROR(__xludf.DUMMYFUNCTION("""COMPUTED_VALUE"""),"Ganjil")</f>
        <v>Ganjil</v>
      </c>
      <c r="G229" s="5" t="str">
        <f>IFERROR(__xludf.DUMMYFUNCTION("""COMPUTED_VALUE"""),"Manajemen")</f>
        <v>Manajemen</v>
      </c>
      <c r="H229" s="10" t="str">
        <f>IFERROR(__xludf.DUMMYFUNCTION("""COMPUTED_VALUE"""),"Mahasiswa")</f>
        <v>Mahasiswa</v>
      </c>
      <c r="I229" s="6" t="str">
        <f>IFERROR(__xludf.DUMMYFUNCTION("""COMPUTED_VALUE"""),"Rusti Kurniawati")</f>
        <v>Rusti Kurniawati</v>
      </c>
      <c r="J229" s="6" t="str">
        <f>IFERROR(__xludf.DUMMYFUNCTION("""COMPUTED_VALUE"""),"Ginanjar Rahmawan")</f>
        <v>Ginanjar Rahmawan</v>
      </c>
      <c r="K229" s="6"/>
      <c r="L229" s="6"/>
      <c r="M229" s="6"/>
      <c r="N229" s="6"/>
      <c r="O229" s="6"/>
      <c r="P229" s="10" t="str">
        <f>IFERROR(__xludf.DUMMYFUNCTION("""COMPUTED_VALUE"""),"Rusti Kurniawati,Ginanjar Rahmawan,,")</f>
        <v>Rusti Kurniawati,Ginanjar Rahmawan,,</v>
      </c>
      <c r="Q229" s="11" t="str">
        <f>IFERROR(__xludf.DUMMYFUNCTION("""COMPUTED_VALUE"""),"https://www.neliti.com/publications/439380/the-factor-determination-of-online-purchasing-decision-on-indonesia-marketplace")</f>
        <v>https://www.neliti.com/publications/439380/the-factor-determination-of-online-purchasing-decision-on-indonesia-marketplace</v>
      </c>
      <c r="R229" s="6"/>
    </row>
    <row r="230">
      <c r="A230" s="5">
        <f>IFERROR(__xludf.DUMMYFUNCTION("""COMPUTED_VALUE"""),229.0)</f>
        <v>229</v>
      </c>
      <c r="B230" s="6" t="str">
        <f>IFERROR(__xludf.DUMMYFUNCTION("""COMPUTED_VALUE"""),"Factors Influence Of Purchase Intention On Beauty Product")</f>
        <v>Factors Influence Of Purchase Intention On Beauty Product</v>
      </c>
      <c r="C230" s="7">
        <f>IFERROR(__xludf.DUMMYFUNCTION("""COMPUTED_VALUE"""),2021.0)</f>
        <v>2021</v>
      </c>
      <c r="D230" s="8" t="str">
        <f>IFERROR(__xludf.DUMMYFUNCTION("""COMPUTED_VALUE"""),"2021/2022")</f>
        <v>2021/2022</v>
      </c>
      <c r="E230" s="9">
        <f>IFERROR(__xludf.DUMMYFUNCTION("""COMPUTED_VALUE"""),44559.0)</f>
        <v>44559</v>
      </c>
      <c r="F230" s="5" t="str">
        <f>IFERROR(__xludf.DUMMYFUNCTION("""COMPUTED_VALUE"""),"Ganjil")</f>
        <v>Ganjil</v>
      </c>
      <c r="G230" s="5" t="str">
        <f>IFERROR(__xludf.DUMMYFUNCTION("""COMPUTED_VALUE"""),"Manajemen")</f>
        <v>Manajemen</v>
      </c>
      <c r="H230" s="10" t="str">
        <f>IFERROR(__xludf.DUMMYFUNCTION("""COMPUTED_VALUE"""),"Dosen")</f>
        <v>Dosen</v>
      </c>
      <c r="I230" s="6" t="str">
        <f>IFERROR(__xludf.DUMMYFUNCTION("""COMPUTED_VALUE"""),"Marina Kusumawati")</f>
        <v>Marina Kusumawati</v>
      </c>
      <c r="J230" s="6" t="str">
        <f>IFERROR(__xludf.DUMMYFUNCTION("""COMPUTED_VALUE"""),"Ginanjar Rahmawan")</f>
        <v>Ginanjar Rahmawan</v>
      </c>
      <c r="K230" s="6"/>
      <c r="L230" s="6"/>
      <c r="M230" s="6"/>
      <c r="N230" s="6"/>
      <c r="O230" s="6"/>
      <c r="P230" s="10" t="str">
        <f>IFERROR(__xludf.DUMMYFUNCTION("""COMPUTED_VALUE"""),"Marina Kusumawati,Ginanjar Rahmawan,,")</f>
        <v>Marina Kusumawati,Ginanjar Rahmawan,,</v>
      </c>
      <c r="Q230" s="11" t="str">
        <f>IFERROR(__xludf.DUMMYFUNCTION("""COMPUTED_VALUE"""),"https://ijersc.org/index.php/go/article/view/27")</f>
        <v>https://ijersc.org/index.php/go/article/view/27</v>
      </c>
      <c r="R230" s="6"/>
    </row>
    <row r="231">
      <c r="A231" s="5">
        <f>IFERROR(__xludf.DUMMYFUNCTION("""COMPUTED_VALUE"""),230.0)</f>
        <v>230</v>
      </c>
      <c r="B231" s="6" t="str">
        <f>IFERROR(__xludf.DUMMYFUNCTION("""COMPUTED_VALUE"""),"Determinant Factor Of Saving Decision In Syaria Financial Institution")</f>
        <v>Determinant Factor Of Saving Decision In Syaria Financial Institution</v>
      </c>
      <c r="C231" s="7">
        <f>IFERROR(__xludf.DUMMYFUNCTION("""COMPUTED_VALUE"""),2021.0)</f>
        <v>2021</v>
      </c>
      <c r="D231" s="8" t="str">
        <f>IFERROR(__xludf.DUMMYFUNCTION("""COMPUTED_VALUE"""),"2021/2022")</f>
        <v>2021/2022</v>
      </c>
      <c r="E231" s="9">
        <f>IFERROR(__xludf.DUMMYFUNCTION("""COMPUTED_VALUE"""),44559.0)</f>
        <v>44559</v>
      </c>
      <c r="F231" s="5" t="str">
        <f>IFERROR(__xludf.DUMMYFUNCTION("""COMPUTED_VALUE"""),"Ganjil")</f>
        <v>Ganjil</v>
      </c>
      <c r="G231" s="5" t="str">
        <f>IFERROR(__xludf.DUMMYFUNCTION("""COMPUTED_VALUE"""),"Manajemen")</f>
        <v>Manajemen</v>
      </c>
      <c r="H231" s="10" t="str">
        <f>IFERROR(__xludf.DUMMYFUNCTION("""COMPUTED_VALUE"""),"Mahasiswa")</f>
        <v>Mahasiswa</v>
      </c>
      <c r="I231" s="6" t="str">
        <f>IFERROR(__xludf.DUMMYFUNCTION("""COMPUTED_VALUE"""),"Fitri Nur Hidhayati")</f>
        <v>Fitri Nur Hidhayati</v>
      </c>
      <c r="J231" s="6" t="str">
        <f>IFERROR(__xludf.DUMMYFUNCTION("""COMPUTED_VALUE"""),"Ginanjar Rahmawan")</f>
        <v>Ginanjar Rahmawan</v>
      </c>
      <c r="K231" s="6"/>
      <c r="L231" s="6"/>
      <c r="M231" s="6"/>
      <c r="N231" s="6"/>
      <c r="O231" s="6"/>
      <c r="P231" s="10" t="str">
        <f>IFERROR(__xludf.DUMMYFUNCTION("""COMPUTED_VALUE"""),"Fitri Nur Hidhayati,Ginanjar Rahmawan,,")</f>
        <v>Fitri Nur Hidhayati,Ginanjar Rahmawan,,</v>
      </c>
      <c r="Q231" s="11" t="str">
        <f>IFERROR(__xludf.DUMMYFUNCTION("""COMPUTED_VALUE"""),"https://ijersc.org/index.php/go/article/view/28")</f>
        <v>https://ijersc.org/index.php/go/article/view/28</v>
      </c>
      <c r="R231" s="6"/>
    </row>
    <row r="232">
      <c r="A232" s="5">
        <f>IFERROR(__xludf.DUMMYFUNCTION("""COMPUTED_VALUE"""),231.0)</f>
        <v>231</v>
      </c>
      <c r="B232" s="6" t="str">
        <f>IFERROR(__xludf.DUMMYFUNCTION("""COMPUTED_VALUE"""),"Analisis Pengaruh Gaya Hidup, Brand Dan Persepsi Harga Terhadap Keputusan Pembelian Di Toko Boze Vape Store Kartasura")</f>
        <v>Analisis Pengaruh Gaya Hidup, Brand Dan Persepsi Harga Terhadap Keputusan Pembelian Di Toko Boze Vape Store Kartasura</v>
      </c>
      <c r="C232" s="7">
        <f>IFERROR(__xludf.DUMMYFUNCTION("""COMPUTED_VALUE"""),2021.0)</f>
        <v>2021</v>
      </c>
      <c r="D232" s="8" t="str">
        <f>IFERROR(__xludf.DUMMYFUNCTION("""COMPUTED_VALUE"""),"2021/2022")</f>
        <v>2021/2022</v>
      </c>
      <c r="E232" s="9">
        <f>IFERROR(__xludf.DUMMYFUNCTION("""COMPUTED_VALUE"""),44559.0)</f>
        <v>44559</v>
      </c>
      <c r="F232" s="5" t="str">
        <f>IFERROR(__xludf.DUMMYFUNCTION("""COMPUTED_VALUE"""),"Ganjil")</f>
        <v>Ganjil</v>
      </c>
      <c r="G232" s="5" t="str">
        <f>IFERROR(__xludf.DUMMYFUNCTION("""COMPUTED_VALUE"""),"Manajemen")</f>
        <v>Manajemen</v>
      </c>
      <c r="H232" s="10" t="str">
        <f>IFERROR(__xludf.DUMMYFUNCTION("""COMPUTED_VALUE"""),"Mahasiswa")</f>
        <v>Mahasiswa</v>
      </c>
      <c r="I232" s="6" t="str">
        <f>IFERROR(__xludf.DUMMYFUNCTION("""COMPUTED_VALUE"""),"Rodzi Shodikin")</f>
        <v>Rodzi Shodikin</v>
      </c>
      <c r="J232" s="6" t="str">
        <f>IFERROR(__xludf.DUMMYFUNCTION("""COMPUTED_VALUE"""),"Ginanjar Rahmawan")</f>
        <v>Ginanjar Rahmawan</v>
      </c>
      <c r="K232" s="6"/>
      <c r="L232" s="6"/>
      <c r="M232" s="6"/>
      <c r="N232" s="6"/>
      <c r="O232" s="6"/>
      <c r="P232" s="10" t="str">
        <f>IFERROR(__xludf.DUMMYFUNCTION("""COMPUTED_VALUE"""),"Rodzi Shodikin,Ginanjar Rahmawan,,")</f>
        <v>Rodzi Shodikin,Ginanjar Rahmawan,,</v>
      </c>
      <c r="Q232" s="11" t="str">
        <f>IFERROR(__xludf.DUMMYFUNCTION("""COMPUTED_VALUE"""),"https://jurnal.ulb.ac.id/index.php/ecobisma/article/view/2079")</f>
        <v>https://jurnal.ulb.ac.id/index.php/ecobisma/article/view/2079</v>
      </c>
      <c r="R232" s="6"/>
    </row>
    <row r="233">
      <c r="A233" s="5">
        <f>IFERROR(__xludf.DUMMYFUNCTION("""COMPUTED_VALUE"""),232.0)</f>
        <v>232</v>
      </c>
      <c r="B233" s="6" t="str">
        <f>IFERROR(__xludf.DUMMYFUNCTION("""COMPUTED_VALUE"""),"Pengaruh Harga, Promosi Dan Kualitas Produk Terhadap Minat Beli Masyarkat Terhadap Smartphone Merk Cina")</f>
        <v>Pengaruh Harga, Promosi Dan Kualitas Produk Terhadap Minat Beli Masyarkat Terhadap Smartphone Merk Cina</v>
      </c>
      <c r="C233" s="7">
        <f>IFERROR(__xludf.DUMMYFUNCTION("""COMPUTED_VALUE"""),2021.0)</f>
        <v>2021</v>
      </c>
      <c r="D233" s="8" t="str">
        <f>IFERROR(__xludf.DUMMYFUNCTION("""COMPUTED_VALUE"""),"2021/2022")</f>
        <v>2021/2022</v>
      </c>
      <c r="E233" s="9">
        <f>IFERROR(__xludf.DUMMYFUNCTION("""COMPUTED_VALUE"""),44559.0)</f>
        <v>44559</v>
      </c>
      <c r="F233" s="5" t="str">
        <f>IFERROR(__xludf.DUMMYFUNCTION("""COMPUTED_VALUE"""),"Ganjil")</f>
        <v>Ganjil</v>
      </c>
      <c r="G233" s="5" t="str">
        <f>IFERROR(__xludf.DUMMYFUNCTION("""COMPUTED_VALUE"""),"Manajemen")</f>
        <v>Manajemen</v>
      </c>
      <c r="H233" s="10" t="str">
        <f>IFERROR(__xludf.DUMMYFUNCTION("""COMPUTED_VALUE"""),"Mahasiswa")</f>
        <v>Mahasiswa</v>
      </c>
      <c r="I233" s="6" t="str">
        <f>IFERROR(__xludf.DUMMYFUNCTION("""COMPUTED_VALUE"""),"Aditya Krisna Ariyanto")</f>
        <v>Aditya Krisna Ariyanto</v>
      </c>
      <c r="J233" s="6" t="str">
        <f>IFERROR(__xludf.DUMMYFUNCTION("""COMPUTED_VALUE"""),"Ginanjar Rahmawan")</f>
        <v>Ginanjar Rahmawan</v>
      </c>
      <c r="K233" s="6"/>
      <c r="L233" s="6"/>
      <c r="M233" s="6"/>
      <c r="N233" s="6"/>
      <c r="O233" s="6"/>
      <c r="P233" s="10" t="str">
        <f>IFERROR(__xludf.DUMMYFUNCTION("""COMPUTED_VALUE"""),"Aditya Krisna Ariyanto,Ginanjar Rahmawan,,")</f>
        <v>Aditya Krisna Ariyanto,Ginanjar Rahmawan,,</v>
      </c>
      <c r="Q233" s="11" t="str">
        <f>IFERROR(__xludf.DUMMYFUNCTION("""COMPUTED_VALUE"""),"https://ejournal.unhi.ac.id/index.php/widyamanajemen/article/view/1632")</f>
        <v>https://ejournal.unhi.ac.id/index.php/widyamanajemen/article/view/1632</v>
      </c>
      <c r="R233" s="6"/>
    </row>
    <row r="234">
      <c r="A234" s="5">
        <f>IFERROR(__xludf.DUMMYFUNCTION("""COMPUTED_VALUE"""),233.0)</f>
        <v>233</v>
      </c>
      <c r="B234" s="6" t="str">
        <f>IFERROR(__xludf.DUMMYFUNCTION("""COMPUTED_VALUE"""),"Pengaruh Harga, Kualitas Produk Dan Citra Merek Terhadap Keputusan Pembelian Produk Garnier")</f>
        <v>Pengaruh Harga, Kualitas Produk Dan Citra Merek Terhadap Keputusan Pembelian Produk Garnier</v>
      </c>
      <c r="C234" s="7">
        <f>IFERROR(__xludf.DUMMYFUNCTION("""COMPUTED_VALUE"""),2021.0)</f>
        <v>2021</v>
      </c>
      <c r="D234" s="8" t="str">
        <f>IFERROR(__xludf.DUMMYFUNCTION("""COMPUTED_VALUE"""),"2021/2022")</f>
        <v>2021/2022</v>
      </c>
      <c r="E234" s="9">
        <f>IFERROR(__xludf.DUMMYFUNCTION("""COMPUTED_VALUE"""),44559.0)</f>
        <v>44559</v>
      </c>
      <c r="F234" s="5" t="str">
        <f>IFERROR(__xludf.DUMMYFUNCTION("""COMPUTED_VALUE"""),"Ganjil")</f>
        <v>Ganjil</v>
      </c>
      <c r="G234" s="5" t="str">
        <f>IFERROR(__xludf.DUMMYFUNCTION("""COMPUTED_VALUE"""),"Manajemen")</f>
        <v>Manajemen</v>
      </c>
      <c r="H234" s="10" t="str">
        <f>IFERROR(__xludf.DUMMYFUNCTION("""COMPUTED_VALUE"""),"Mahasiswa")</f>
        <v>Mahasiswa</v>
      </c>
      <c r="I234" s="6" t="str">
        <f>IFERROR(__xludf.DUMMYFUNCTION("""COMPUTED_VALUE"""),"Yohana Dian Puspita")</f>
        <v>Yohana Dian Puspita</v>
      </c>
      <c r="J234" s="6" t="str">
        <f>IFERROR(__xludf.DUMMYFUNCTION("""COMPUTED_VALUE"""),"Ginanjar Rahmawan")</f>
        <v>Ginanjar Rahmawan</v>
      </c>
      <c r="K234" s="6"/>
      <c r="L234" s="6"/>
      <c r="M234" s="6"/>
      <c r="N234" s="6"/>
      <c r="O234" s="6"/>
      <c r="P234" s="10" t="str">
        <f>IFERROR(__xludf.DUMMYFUNCTION("""COMPUTED_VALUE"""),"Yohana Dian Puspita,Ginanjar Rahmawan,,")</f>
        <v>Yohana Dian Puspita,Ginanjar Rahmawan,,</v>
      </c>
      <c r="Q234" s="11" t="str">
        <f>IFERROR(__xludf.DUMMYFUNCTION("""COMPUTED_VALUE"""),"https://jurnal.unismuhpalu.ac.id/index.php/JSM/article/view/1644")</f>
        <v>https://jurnal.unismuhpalu.ac.id/index.php/JSM/article/view/1644</v>
      </c>
      <c r="R234" s="6"/>
    </row>
    <row r="235">
      <c r="A235" s="5">
        <f>IFERROR(__xludf.DUMMYFUNCTION("""COMPUTED_VALUE"""),234.0)</f>
        <v>234</v>
      </c>
      <c r="B235" s="6" t="str">
        <f>IFERROR(__xludf.DUMMYFUNCTION("""COMPUTED_VALUE"""),"Analisis Struktur Organisasi, Sistem Wewenang, Praktek Yang Sehat, Dan Karyawan Yang Bermutu Terhadap Sistem Pengendalian Intern Kas (Studi Pt. Citra Van Tiki Cabang Solo)")</f>
        <v>Analisis Struktur Organisasi, Sistem Wewenang, Praktek Yang Sehat, Dan Karyawan Yang Bermutu Terhadap Sistem Pengendalian Intern Kas (Studi Pt. Citra Van Tiki Cabang Solo)</v>
      </c>
      <c r="C235" s="7">
        <f>IFERROR(__xludf.DUMMYFUNCTION("""COMPUTED_VALUE"""),2021.0)</f>
        <v>2021</v>
      </c>
      <c r="D235" s="8" t="str">
        <f>IFERROR(__xludf.DUMMYFUNCTION("""COMPUTED_VALUE"""),"2021/2022")</f>
        <v>2021/2022</v>
      </c>
      <c r="E235" s="9">
        <f>IFERROR(__xludf.DUMMYFUNCTION("""COMPUTED_VALUE"""),44559.0)</f>
        <v>44559</v>
      </c>
      <c r="F235" s="5" t="str">
        <f>IFERROR(__xludf.DUMMYFUNCTION("""COMPUTED_VALUE"""),"Ganjil")</f>
        <v>Ganjil</v>
      </c>
      <c r="G235" s="5" t="str">
        <f>IFERROR(__xludf.DUMMYFUNCTION("""COMPUTED_VALUE"""),"Akuntansi")</f>
        <v>Akuntansi</v>
      </c>
      <c r="H235" s="10" t="str">
        <f>IFERROR(__xludf.DUMMYFUNCTION("""COMPUTED_VALUE"""),"Dosen")</f>
        <v>Dosen</v>
      </c>
      <c r="I235" s="6" t="str">
        <f>IFERROR(__xludf.DUMMYFUNCTION("""COMPUTED_VALUE"""),"Pardi")</f>
        <v>Pardi</v>
      </c>
      <c r="J235" s="6" t="str">
        <f>IFERROR(__xludf.DUMMYFUNCTION("""COMPUTED_VALUE"""),"Alisa Rusdiana")</f>
        <v>Alisa Rusdiana</v>
      </c>
      <c r="K235" s="6"/>
      <c r="L235" s="6"/>
      <c r="M235" s="6"/>
      <c r="N235" s="6"/>
      <c r="O235" s="6"/>
      <c r="P235" s="10" t="str">
        <f>IFERROR(__xludf.DUMMYFUNCTION("""COMPUTED_VALUE"""),"Pardi,Alisa Rusdiana,,")</f>
        <v>Pardi,Alisa Rusdiana,,</v>
      </c>
      <c r="Q235" s="11" t="str">
        <f>IFERROR(__xludf.DUMMYFUNCTION("""COMPUTED_VALUE"""),"https://www.jurnal.stie-aas.ac.id/index.php/jie/article/view/1878")</f>
        <v>https://www.jurnal.stie-aas.ac.id/index.php/jie/article/view/1878</v>
      </c>
      <c r="R235" s="6"/>
    </row>
    <row r="236">
      <c r="A236" s="5">
        <f>IFERROR(__xludf.DUMMYFUNCTION("""COMPUTED_VALUE"""),235.0)</f>
        <v>235</v>
      </c>
      <c r="B236" s="6" t="str">
        <f>IFERROR(__xludf.DUMMYFUNCTION("""COMPUTED_VALUE"""),"Economic Institutions Through Village-Owned Enterprise In Developing Countries")</f>
        <v>Economic Institutions Through Village-Owned Enterprise In Developing Countries</v>
      </c>
      <c r="C236" s="7">
        <f>IFERROR(__xludf.DUMMYFUNCTION("""COMPUTED_VALUE"""),2021.0)</f>
        <v>2021</v>
      </c>
      <c r="D236" s="8" t="str">
        <f>IFERROR(__xludf.DUMMYFUNCTION("""COMPUTED_VALUE"""),"2021/2022")</f>
        <v>2021/2022</v>
      </c>
      <c r="E236" s="9">
        <f>IFERROR(__xludf.DUMMYFUNCTION("""COMPUTED_VALUE"""),44559.0)</f>
        <v>44559</v>
      </c>
      <c r="F236" s="5" t="str">
        <f>IFERROR(__xludf.DUMMYFUNCTION("""COMPUTED_VALUE"""),"Ganjil")</f>
        <v>Ganjil</v>
      </c>
      <c r="G236" s="5" t="str">
        <f>IFERROR(__xludf.DUMMYFUNCTION("""COMPUTED_VALUE"""),"Akuntansi")</f>
        <v>Akuntansi</v>
      </c>
      <c r="H236" s="10" t="str">
        <f>IFERROR(__xludf.DUMMYFUNCTION("""COMPUTED_VALUE"""),"Dosen")</f>
        <v>Dosen</v>
      </c>
      <c r="I236" s="6" t="str">
        <f>IFERROR(__xludf.DUMMYFUNCTION("""COMPUTED_VALUE"""),"Pardi")</f>
        <v>Pardi</v>
      </c>
      <c r="J236" s="6"/>
      <c r="K236" s="6"/>
      <c r="L236" s="6"/>
      <c r="M236" s="6"/>
      <c r="N236" s="6"/>
      <c r="O236" s="6"/>
      <c r="P236" s="10" t="str">
        <f>IFERROR(__xludf.DUMMYFUNCTION("""COMPUTED_VALUE"""),"Pardi,,,")</f>
        <v>Pardi,,,</v>
      </c>
      <c r="Q236" s="11" t="str">
        <f>IFERROR(__xludf.DUMMYFUNCTION("""COMPUTED_VALUE"""),"https://jurnal.stie-aas.ac.id/index.php/IJEBAR/article/view/2508")</f>
        <v>https://jurnal.stie-aas.ac.id/index.php/IJEBAR/article/view/2508</v>
      </c>
      <c r="R236" s="6"/>
    </row>
    <row r="237">
      <c r="A237" s="5">
        <f>IFERROR(__xludf.DUMMYFUNCTION("""COMPUTED_VALUE"""),236.0)</f>
        <v>236</v>
      </c>
      <c r="B237" s="6" t="str">
        <f>IFERROR(__xludf.DUMMYFUNCTION("""COMPUTED_VALUE"""),"Analisis Faktor Fundamental Dan Variabel Makro Harga Saham Lq45 Sektor Perbankan Di Bursa Efek Indonesia Tahun 2019-2020")</f>
        <v>Analisis Faktor Fundamental Dan Variabel Makro Harga Saham Lq45 Sektor Perbankan Di Bursa Efek Indonesia Tahun 2019-2020</v>
      </c>
      <c r="C237" s="7">
        <f>IFERROR(__xludf.DUMMYFUNCTION("""COMPUTED_VALUE"""),2021.0)</f>
        <v>2021</v>
      </c>
      <c r="D237" s="8" t="str">
        <f>IFERROR(__xludf.DUMMYFUNCTION("""COMPUTED_VALUE"""),"2021/2022")</f>
        <v>2021/2022</v>
      </c>
      <c r="E237" s="9">
        <f>IFERROR(__xludf.DUMMYFUNCTION("""COMPUTED_VALUE"""),44559.0)</f>
        <v>44559</v>
      </c>
      <c r="F237" s="5" t="str">
        <f>IFERROR(__xludf.DUMMYFUNCTION("""COMPUTED_VALUE"""),"Ganjil")</f>
        <v>Ganjil</v>
      </c>
      <c r="G237" s="5" t="str">
        <f>IFERROR(__xludf.DUMMYFUNCTION("""COMPUTED_VALUE"""),"Akuntansi")</f>
        <v>Akuntansi</v>
      </c>
      <c r="H237" s="10" t="str">
        <f>IFERROR(__xludf.DUMMYFUNCTION("""COMPUTED_VALUE"""),"Mahasiswa")</f>
        <v>Mahasiswa</v>
      </c>
      <c r="I237" s="6" t="str">
        <f>IFERROR(__xludf.DUMMYFUNCTION("""COMPUTED_VALUE"""),"Annisa Fitriya Al Farizi")</f>
        <v>Annisa Fitriya Al Farizi</v>
      </c>
      <c r="J237" s="6" t="str">
        <f>IFERROR(__xludf.DUMMYFUNCTION("""COMPUTED_VALUE"""),"Pardi")</f>
        <v>Pardi</v>
      </c>
      <c r="K237" s="6"/>
      <c r="L237" s="6"/>
      <c r="M237" s="6"/>
      <c r="N237" s="6"/>
      <c r="O237" s="6"/>
      <c r="P237" s="10" t="str">
        <f>IFERROR(__xludf.DUMMYFUNCTION("""COMPUTED_VALUE"""),"Annisa Fitriya Al Farizi,Pardi,,")</f>
        <v>Annisa Fitriya Al Farizi,Pardi,,</v>
      </c>
      <c r="Q237" s="11" t="str">
        <f>IFERROR(__xludf.DUMMYFUNCTION("""COMPUTED_VALUE"""),"https://jurnal.stiesurakarta.ac.id/index.php/jebdeker/article/view/58")</f>
        <v>https://jurnal.stiesurakarta.ac.id/index.php/jebdeker/article/view/58</v>
      </c>
      <c r="R237" s="6"/>
    </row>
    <row r="238">
      <c r="A238" s="5">
        <f>IFERROR(__xludf.DUMMYFUNCTION("""COMPUTED_VALUE"""),237.0)</f>
        <v>237</v>
      </c>
      <c r="B238" s="6" t="str">
        <f>IFERROR(__xludf.DUMMYFUNCTION("""COMPUTED_VALUE"""),"Analisis Belanja Desa Terhadap Pendapatan Alokasi Dana Desa Pada Masa Pandemi Covid-19 (Studi Kecamatan Gondangrejo, Kabupaten Karanganyar)")</f>
        <v>Analisis Belanja Desa Terhadap Pendapatan Alokasi Dana Desa Pada Masa Pandemi Covid-19 (Studi Kecamatan Gondangrejo, Kabupaten Karanganyar)</v>
      </c>
      <c r="C238" s="7">
        <f>IFERROR(__xludf.DUMMYFUNCTION("""COMPUTED_VALUE"""),2021.0)</f>
        <v>2021</v>
      </c>
      <c r="D238" s="8" t="str">
        <f>IFERROR(__xludf.DUMMYFUNCTION("""COMPUTED_VALUE"""),"2021/2022")</f>
        <v>2021/2022</v>
      </c>
      <c r="E238" s="9">
        <f>IFERROR(__xludf.DUMMYFUNCTION("""COMPUTED_VALUE"""),44559.0)</f>
        <v>44559</v>
      </c>
      <c r="F238" s="5" t="str">
        <f>IFERROR(__xludf.DUMMYFUNCTION("""COMPUTED_VALUE"""),"Ganjil")</f>
        <v>Ganjil</v>
      </c>
      <c r="G238" s="5" t="str">
        <f>IFERROR(__xludf.DUMMYFUNCTION("""COMPUTED_VALUE"""),"Akuntansi")</f>
        <v>Akuntansi</v>
      </c>
      <c r="H238" s="10" t="str">
        <f>IFERROR(__xludf.DUMMYFUNCTION("""COMPUTED_VALUE"""),"Mahasiswa")</f>
        <v>Mahasiswa</v>
      </c>
      <c r="I238" s="6" t="str">
        <f>IFERROR(__xludf.DUMMYFUNCTION("""COMPUTED_VALUE"""),"Lusiana Fatmaningsih")</f>
        <v>Lusiana Fatmaningsih</v>
      </c>
      <c r="J238" s="6" t="str">
        <f>IFERROR(__xludf.DUMMYFUNCTION("""COMPUTED_VALUE"""),"Pardi")</f>
        <v>Pardi</v>
      </c>
      <c r="K238" s="6"/>
      <c r="L238" s="6"/>
      <c r="M238" s="6"/>
      <c r="N238" s="6"/>
      <c r="O238" s="6"/>
      <c r="P238" s="10" t="str">
        <f>IFERROR(__xludf.DUMMYFUNCTION("""COMPUTED_VALUE"""),"Lusiana Fatmaningsih,Pardi,,")</f>
        <v>Lusiana Fatmaningsih,Pardi,,</v>
      </c>
      <c r="Q238" s="11" t="str">
        <f>IFERROR(__xludf.DUMMYFUNCTION("""COMPUTED_VALUE"""),"https://jurnal.stie-aas.ac.id/index.php/jap/article/view/2160")</f>
        <v>https://jurnal.stie-aas.ac.id/index.php/jap/article/view/2160</v>
      </c>
      <c r="R238" s="6"/>
    </row>
    <row r="239">
      <c r="A239" s="5">
        <f>IFERROR(__xludf.DUMMYFUNCTION("""COMPUTED_VALUE"""),238.0)</f>
        <v>238</v>
      </c>
      <c r="B239" s="6" t="str">
        <f>IFERROR(__xludf.DUMMYFUNCTION("""COMPUTED_VALUE"""),"Pengaruh Profitabilitas, Opini Audit, Ukuran Dan Umur Perusahaan Terhadap Audit Delay Pada Perusahaan Food And Beverages Tahun 2015-2019")</f>
        <v>Pengaruh Profitabilitas, Opini Audit, Ukuran Dan Umur Perusahaan Terhadap Audit Delay Pada Perusahaan Food And Beverages Tahun 2015-2019</v>
      </c>
      <c r="C239" s="7">
        <f>IFERROR(__xludf.DUMMYFUNCTION("""COMPUTED_VALUE"""),2021.0)</f>
        <v>2021</v>
      </c>
      <c r="D239" s="8" t="str">
        <f>IFERROR(__xludf.DUMMYFUNCTION("""COMPUTED_VALUE"""),"2021/2022")</f>
        <v>2021/2022</v>
      </c>
      <c r="E239" s="9">
        <f>IFERROR(__xludf.DUMMYFUNCTION("""COMPUTED_VALUE"""),44559.0)</f>
        <v>44559</v>
      </c>
      <c r="F239" s="5" t="str">
        <f>IFERROR(__xludf.DUMMYFUNCTION("""COMPUTED_VALUE"""),"Ganjil")</f>
        <v>Ganjil</v>
      </c>
      <c r="G239" s="5" t="str">
        <f>IFERROR(__xludf.DUMMYFUNCTION("""COMPUTED_VALUE"""),"Akuntansi")</f>
        <v>Akuntansi</v>
      </c>
      <c r="H239" s="10" t="str">
        <f>IFERROR(__xludf.DUMMYFUNCTION("""COMPUTED_VALUE"""),"Mahasiswa")</f>
        <v>Mahasiswa</v>
      </c>
      <c r="I239" s="6" t="str">
        <f>IFERROR(__xludf.DUMMYFUNCTION("""COMPUTED_VALUE"""),"Dinda Adelia Pradhitasari")</f>
        <v>Dinda Adelia Pradhitasari</v>
      </c>
      <c r="J239" s="6" t="str">
        <f>IFERROR(__xludf.DUMMYFUNCTION("""COMPUTED_VALUE"""),"Pardi")</f>
        <v>Pardi</v>
      </c>
      <c r="K239" s="6"/>
      <c r="L239" s="6"/>
      <c r="M239" s="6"/>
      <c r="N239" s="6"/>
      <c r="O239" s="6"/>
      <c r="P239" s="10" t="str">
        <f>IFERROR(__xludf.DUMMYFUNCTION("""COMPUTED_VALUE"""),"Dinda Adelia Pradhitasari,Pardi,,")</f>
        <v>Dinda Adelia Pradhitasari,Pardi,,</v>
      </c>
      <c r="Q239" s="11" t="str">
        <f>IFERROR(__xludf.DUMMYFUNCTION("""COMPUTED_VALUE"""),"https://jurnal.stie-aas.ac.id/index.php/jap/article/view/2260")</f>
        <v>https://jurnal.stie-aas.ac.id/index.php/jap/article/view/2260</v>
      </c>
      <c r="R239" s="6"/>
    </row>
    <row r="240">
      <c r="A240" s="5">
        <f>IFERROR(__xludf.DUMMYFUNCTION("""COMPUTED_VALUE"""),239.0)</f>
        <v>239</v>
      </c>
      <c r="B240" s="6" t="str">
        <f>IFERROR(__xludf.DUMMYFUNCTION("""COMPUTED_VALUE"""),"The Effect Of Audit Fee, Audit Rotation, And Auditor Reputation On Audit Quality")</f>
        <v>The Effect Of Audit Fee, Audit Rotation, And Auditor Reputation On Audit Quality</v>
      </c>
      <c r="C240" s="7">
        <f>IFERROR(__xludf.DUMMYFUNCTION("""COMPUTED_VALUE"""),2021.0)</f>
        <v>2021</v>
      </c>
      <c r="D240" s="8" t="str">
        <f>IFERROR(__xludf.DUMMYFUNCTION("""COMPUTED_VALUE"""),"2021/2022")</f>
        <v>2021/2022</v>
      </c>
      <c r="E240" s="9">
        <f>IFERROR(__xludf.DUMMYFUNCTION("""COMPUTED_VALUE"""),44559.0)</f>
        <v>44559</v>
      </c>
      <c r="F240" s="5" t="str">
        <f>IFERROR(__xludf.DUMMYFUNCTION("""COMPUTED_VALUE"""),"Ganjil")</f>
        <v>Ganjil</v>
      </c>
      <c r="G240" s="5" t="str">
        <f>IFERROR(__xludf.DUMMYFUNCTION("""COMPUTED_VALUE"""),"Akuntansi")</f>
        <v>Akuntansi</v>
      </c>
      <c r="H240" s="10" t="str">
        <f>IFERROR(__xludf.DUMMYFUNCTION("""COMPUTED_VALUE"""),"Dosen")</f>
        <v>Dosen</v>
      </c>
      <c r="I240" s="6" t="str">
        <f>IFERROR(__xludf.DUMMYFUNCTION("""COMPUTED_VALUE"""),"Nursiam")</f>
        <v>Nursiam</v>
      </c>
      <c r="J240" s="6" t="str">
        <f>IFERROR(__xludf.DUMMYFUNCTION("""COMPUTED_VALUE"""),"Pardi")</f>
        <v>Pardi</v>
      </c>
      <c r="K240" s="6"/>
      <c r="L240" s="6"/>
      <c r="M240" s="6"/>
      <c r="N240" s="6"/>
      <c r="O240" s="6"/>
      <c r="P240" s="10" t="str">
        <f>IFERROR(__xludf.DUMMYFUNCTION("""COMPUTED_VALUE"""),"Nursiam,Pardi,,")</f>
        <v>Nursiam,Pardi,,</v>
      </c>
      <c r="Q240" s="11" t="str">
        <f>IFERROR(__xludf.DUMMYFUNCTION("""COMPUTED_VALUE"""),"https://journals.ums.ac.id/index.php/reaksi/article/view/16124")</f>
        <v>https://journals.ums.ac.id/index.php/reaksi/article/view/16124</v>
      </c>
      <c r="R240" s="6"/>
    </row>
    <row r="241">
      <c r="A241" s="5">
        <f>IFERROR(__xludf.DUMMYFUNCTION("""COMPUTED_VALUE"""),240.0)</f>
        <v>240</v>
      </c>
      <c r="B241" s="6" t="str">
        <f>IFERROR(__xludf.DUMMYFUNCTION("""COMPUTED_VALUE"""),"Accounting Values Of Woven Fabric Small And Medium Enterprises In Klaten Indonesia")</f>
        <v>Accounting Values Of Woven Fabric Small And Medium Enterprises In Klaten Indonesia</v>
      </c>
      <c r="C241" s="7">
        <f>IFERROR(__xludf.DUMMYFUNCTION("""COMPUTED_VALUE"""),2021.0)</f>
        <v>2021</v>
      </c>
      <c r="D241" s="8" t="str">
        <f>IFERROR(__xludf.DUMMYFUNCTION("""COMPUTED_VALUE"""),"2021/2022")</f>
        <v>2021/2022</v>
      </c>
      <c r="E241" s="9">
        <f>IFERROR(__xludf.DUMMYFUNCTION("""COMPUTED_VALUE"""),44559.0)</f>
        <v>44559</v>
      </c>
      <c r="F241" s="5" t="str">
        <f>IFERROR(__xludf.DUMMYFUNCTION("""COMPUTED_VALUE"""),"Ganjil")</f>
        <v>Ganjil</v>
      </c>
      <c r="G241" s="5" t="str">
        <f>IFERROR(__xludf.DUMMYFUNCTION("""COMPUTED_VALUE"""),"Akuntansi")</f>
        <v>Akuntansi</v>
      </c>
      <c r="H241" s="10" t="str">
        <f>IFERROR(__xludf.DUMMYFUNCTION("""COMPUTED_VALUE"""),"Dosen")</f>
        <v>Dosen</v>
      </c>
      <c r="I241" s="6" t="str">
        <f>IFERROR(__xludf.DUMMYFUNCTION("""COMPUTED_VALUE"""),"Pardi")</f>
        <v>Pardi</v>
      </c>
      <c r="J241" s="6" t="str">
        <f>IFERROR(__xludf.DUMMYFUNCTION("""COMPUTED_VALUE"""),"Avita Ayu Fitria")</f>
        <v>Avita Ayu Fitria</v>
      </c>
      <c r="K241" s="6"/>
      <c r="L241" s="6"/>
      <c r="M241" s="6"/>
      <c r="N241" s="6"/>
      <c r="O241" s="6"/>
      <c r="P241" s="10" t="str">
        <f>IFERROR(__xludf.DUMMYFUNCTION("""COMPUTED_VALUE"""),"Pardi,Avita Ayu Fitria,,")</f>
        <v>Pardi,Avita Ayu Fitria,,</v>
      </c>
      <c r="Q241" s="11" t="str">
        <f>IFERROR(__xludf.DUMMYFUNCTION("""COMPUTED_VALUE"""),"https://jurnal.stie-aas.ac.id/index.php/IJEBAR/article/view/3516")</f>
        <v>https://jurnal.stie-aas.ac.id/index.php/IJEBAR/article/view/3516</v>
      </c>
      <c r="R241" s="6"/>
    </row>
    <row r="242">
      <c r="A242" s="5">
        <f>IFERROR(__xludf.DUMMYFUNCTION("""COMPUTED_VALUE"""),241.0)</f>
        <v>241</v>
      </c>
      <c r="B242" s="6" t="str">
        <f>IFERROR(__xludf.DUMMYFUNCTION("""COMPUTED_VALUE"""),"Penguatan Pemberdayaan Ekonomi Kreatif Agung Handycraft Desa Klepu Kecamatan Ceper Kabupaten Klaten")</f>
        <v>Penguatan Pemberdayaan Ekonomi Kreatif Agung Handycraft Desa Klepu Kecamatan Ceper Kabupaten Klaten</v>
      </c>
      <c r="C242" s="7">
        <f>IFERROR(__xludf.DUMMYFUNCTION("""COMPUTED_VALUE"""),2021.0)</f>
        <v>2021</v>
      </c>
      <c r="D242" s="8" t="str">
        <f>IFERROR(__xludf.DUMMYFUNCTION("""COMPUTED_VALUE"""),"2021/2022")</f>
        <v>2021/2022</v>
      </c>
      <c r="E242" s="9">
        <f>IFERROR(__xludf.DUMMYFUNCTION("""COMPUTED_VALUE"""),44559.0)</f>
        <v>44559</v>
      </c>
      <c r="F242" s="5" t="str">
        <f>IFERROR(__xludf.DUMMYFUNCTION("""COMPUTED_VALUE"""),"Ganjil")</f>
        <v>Ganjil</v>
      </c>
      <c r="G242" s="5" t="str">
        <f>IFERROR(__xludf.DUMMYFUNCTION("""COMPUTED_VALUE"""),"Akuntansi")</f>
        <v>Akuntansi</v>
      </c>
      <c r="H242" s="10" t="str">
        <f>IFERROR(__xludf.DUMMYFUNCTION("""COMPUTED_VALUE"""),"Dosen")</f>
        <v>Dosen</v>
      </c>
      <c r="I242" s="6" t="str">
        <f>IFERROR(__xludf.DUMMYFUNCTION("""COMPUTED_VALUE"""),"Nur Kholis")</f>
        <v>Nur Kholis</v>
      </c>
      <c r="J242" s="6" t="str">
        <f>IFERROR(__xludf.DUMMYFUNCTION("""COMPUTED_VALUE"""),"Hestin Mutmainah")</f>
        <v>Hestin Mutmainah</v>
      </c>
      <c r="K242" s="6" t="str">
        <f>IFERROR(__xludf.DUMMYFUNCTION("""COMPUTED_VALUE"""),"Ida Ayu Kade")</f>
        <v>Ida Ayu Kade</v>
      </c>
      <c r="L242" s="6"/>
      <c r="M242" s="6"/>
      <c r="N242" s="6"/>
      <c r="O242" s="6"/>
      <c r="P242" s="10" t="str">
        <f>IFERROR(__xludf.DUMMYFUNCTION("""COMPUTED_VALUE"""),"Nur Kholis,Hestin Mutmainah,Ida Ayu Kade,")</f>
        <v>Nur Kholis,Hestin Mutmainah,Ida Ayu Kade,</v>
      </c>
      <c r="Q242" s="11" t="str">
        <f>IFERROR(__xludf.DUMMYFUNCTION("""COMPUTED_VALUE"""),"https://ejournal.iaiibrahimy.ac.id/index.php/Abdi_Kami/article/view/470")</f>
        <v>https://ejournal.iaiibrahimy.ac.id/index.php/Abdi_Kami/article/view/470</v>
      </c>
      <c r="R242" s="6"/>
    </row>
    <row r="243">
      <c r="A243" s="5">
        <f>IFERROR(__xludf.DUMMYFUNCTION("""COMPUTED_VALUE"""),242.0)</f>
        <v>242</v>
      </c>
      <c r="B243" s="6" t="str">
        <f>IFERROR(__xludf.DUMMYFUNCTION("""COMPUTED_VALUE"""),"Analisis Faktor-Faktor Yang Mempengaruhi Agresivitas Pajak Perusahaan Pertambangan Di Indonesia")</f>
        <v>Analisis Faktor-Faktor Yang Mempengaruhi Agresivitas Pajak Perusahaan Pertambangan Di Indonesia</v>
      </c>
      <c r="C243" s="7">
        <f>IFERROR(__xludf.DUMMYFUNCTION("""COMPUTED_VALUE"""),2021.0)</f>
        <v>2021</v>
      </c>
      <c r="D243" s="8" t="str">
        <f>IFERROR(__xludf.DUMMYFUNCTION("""COMPUTED_VALUE"""),"2021/2022")</f>
        <v>2021/2022</v>
      </c>
      <c r="E243" s="9">
        <f>IFERROR(__xludf.DUMMYFUNCTION("""COMPUTED_VALUE"""),44559.0)</f>
        <v>44559</v>
      </c>
      <c r="F243" s="5" t="str">
        <f>IFERROR(__xludf.DUMMYFUNCTION("""COMPUTED_VALUE"""),"Ganjil")</f>
        <v>Ganjil</v>
      </c>
      <c r="G243" s="5" t="str">
        <f>IFERROR(__xludf.DUMMYFUNCTION("""COMPUTED_VALUE"""),"Akuntansi")</f>
        <v>Akuntansi</v>
      </c>
      <c r="H243" s="10" t="str">
        <f>IFERROR(__xludf.DUMMYFUNCTION("""COMPUTED_VALUE"""),"Dosen")</f>
        <v>Dosen</v>
      </c>
      <c r="I243" s="6" t="str">
        <f>IFERROR(__xludf.DUMMYFUNCTION("""COMPUTED_VALUE"""),"Nur Kholis")</f>
        <v>Nur Kholis</v>
      </c>
      <c r="J243" s="6" t="str">
        <f>IFERROR(__xludf.DUMMYFUNCTION("""COMPUTED_VALUE"""),"Ida Ayu Kade R. K")</f>
        <v>Ida Ayu Kade R. K</v>
      </c>
      <c r="K243" s="6"/>
      <c r="L243" s="6"/>
      <c r="M243" s="6"/>
      <c r="N243" s="6"/>
      <c r="O243" s="6"/>
      <c r="P243" s="10" t="str">
        <f>IFERROR(__xludf.DUMMYFUNCTION("""COMPUTED_VALUE"""),"Nur Kholis,Ida Ayu Kade R. K,,")</f>
        <v>Nur Kholis,Ida Ayu Kade R. K,,</v>
      </c>
      <c r="Q243" s="11" t="str">
        <f>IFERROR(__xludf.DUMMYFUNCTION("""COMPUTED_VALUE"""),"https://stiepari.org/index.php/jvm/article/view/163")</f>
        <v>https://stiepari.org/index.php/jvm/article/view/163</v>
      </c>
      <c r="R243" s="6"/>
    </row>
    <row r="244">
      <c r="A244" s="5">
        <f>IFERROR(__xludf.DUMMYFUNCTION("""COMPUTED_VALUE"""),243.0)</f>
        <v>243</v>
      </c>
      <c r="B244" s="6" t="str">
        <f>IFERROR(__xludf.DUMMYFUNCTION("""COMPUTED_VALUE"""),"Determinasi Kesadaran Wajib Pajak, Kualitas Pelayanan, Sanksi Pajak, Dan Pemahaman Peraturan Perpajakan Terhadap Kepatuhan Wajib Pajak (Studi Kasus Pedagang Kaki Lima Di Grogol")</f>
        <v>Determinasi Kesadaran Wajib Pajak, Kualitas Pelayanan, Sanksi Pajak, Dan Pemahaman Peraturan Perpajakan Terhadap Kepatuhan Wajib Pajak (Studi Kasus Pedagang Kaki Lima Di Grogol</v>
      </c>
      <c r="C244" s="7">
        <f>IFERROR(__xludf.DUMMYFUNCTION("""COMPUTED_VALUE"""),2021.0)</f>
        <v>2021</v>
      </c>
      <c r="D244" s="8" t="str">
        <f>IFERROR(__xludf.DUMMYFUNCTION("""COMPUTED_VALUE"""),"2021/2022")</f>
        <v>2021/2022</v>
      </c>
      <c r="E244" s="9">
        <f>IFERROR(__xludf.DUMMYFUNCTION("""COMPUTED_VALUE"""),44559.0)</f>
        <v>44559</v>
      </c>
      <c r="F244" s="5" t="str">
        <f>IFERROR(__xludf.DUMMYFUNCTION("""COMPUTED_VALUE"""),"Ganjil")</f>
        <v>Ganjil</v>
      </c>
      <c r="G244" s="5" t="str">
        <f>IFERROR(__xludf.DUMMYFUNCTION("""COMPUTED_VALUE"""),"Akuntansi")</f>
        <v>Akuntansi</v>
      </c>
      <c r="H244" s="10" t="str">
        <f>IFERROR(__xludf.DUMMYFUNCTION("""COMPUTED_VALUE"""),"Dosen")</f>
        <v>Dosen</v>
      </c>
      <c r="I244" s="6" t="str">
        <f>IFERROR(__xludf.DUMMYFUNCTION("""COMPUTED_VALUE"""),"Nur Kholis")</f>
        <v>Nur Kholis</v>
      </c>
      <c r="J244" s="6" t="str">
        <f>IFERROR(__xludf.DUMMYFUNCTION("""COMPUTED_VALUE"""),"Hestin Mutmainah")</f>
        <v>Hestin Mutmainah</v>
      </c>
      <c r="K244" s="6"/>
      <c r="L244" s="6"/>
      <c r="M244" s="6"/>
      <c r="N244" s="6"/>
      <c r="O244" s="6"/>
      <c r="P244" s="10" t="str">
        <f>IFERROR(__xludf.DUMMYFUNCTION("""COMPUTED_VALUE"""),"Nur Kholis,Hestin Mutmainah,,")</f>
        <v>Nur Kholis,Hestin Mutmainah,,</v>
      </c>
      <c r="Q244" s="11" t="str">
        <f>IFERROR(__xludf.DUMMYFUNCTION("""COMPUTED_VALUE"""),"https://jurnal.stiesurakarta.ac.id/index.php/jebdeker/article/view/66")</f>
        <v>https://jurnal.stiesurakarta.ac.id/index.php/jebdeker/article/view/66</v>
      </c>
      <c r="R244" s="6"/>
    </row>
    <row r="245">
      <c r="A245" s="5">
        <f>IFERROR(__xludf.DUMMYFUNCTION("""COMPUTED_VALUE"""),244.0)</f>
        <v>244</v>
      </c>
      <c r="B245" s="6" t="str">
        <f>IFERROR(__xludf.DUMMYFUNCTION("""COMPUTED_VALUE"""),"Analisis Kesempatan Investasi Dan Kebijakan Hutang Terhadap Kebijakan Deviden: Studi Perusahaan Lq45")</f>
        <v>Analisis Kesempatan Investasi Dan Kebijakan Hutang Terhadap Kebijakan Deviden: Studi Perusahaan Lq45</v>
      </c>
      <c r="C245" s="7">
        <f>IFERROR(__xludf.DUMMYFUNCTION("""COMPUTED_VALUE"""),2021.0)</f>
        <v>2021</v>
      </c>
      <c r="D245" s="8" t="str">
        <f>IFERROR(__xludf.DUMMYFUNCTION("""COMPUTED_VALUE"""),"2021/2022")</f>
        <v>2021/2022</v>
      </c>
      <c r="E245" s="9">
        <f>IFERROR(__xludf.DUMMYFUNCTION("""COMPUTED_VALUE"""),44559.0)</f>
        <v>44559</v>
      </c>
      <c r="F245" s="5" t="str">
        <f>IFERROR(__xludf.DUMMYFUNCTION("""COMPUTED_VALUE"""),"Ganjil")</f>
        <v>Ganjil</v>
      </c>
      <c r="G245" s="5" t="str">
        <f>IFERROR(__xludf.DUMMYFUNCTION("""COMPUTED_VALUE"""),"Akuntansi")</f>
        <v>Akuntansi</v>
      </c>
      <c r="H245" s="10" t="str">
        <f>IFERROR(__xludf.DUMMYFUNCTION("""COMPUTED_VALUE"""),"Dosen")</f>
        <v>Dosen</v>
      </c>
      <c r="I245" s="6" t="str">
        <f>IFERROR(__xludf.DUMMYFUNCTION("""COMPUTED_VALUE"""),"Lintang Kurniawati")</f>
        <v>Lintang Kurniawati</v>
      </c>
      <c r="J245" s="6" t="str">
        <f>IFERROR(__xludf.DUMMYFUNCTION("""COMPUTED_VALUE"""),"Rita Wijayanti")</f>
        <v>Rita Wijayanti</v>
      </c>
      <c r="K245" s="6" t="str">
        <f>IFERROR(__xludf.DUMMYFUNCTION("""COMPUTED_VALUE"""),"Nur Kholis")</f>
        <v>Nur Kholis</v>
      </c>
      <c r="L245" s="6"/>
      <c r="M245" s="6"/>
      <c r="N245" s="6"/>
      <c r="O245" s="6"/>
      <c r="P245" s="10" t="str">
        <f>IFERROR(__xludf.DUMMYFUNCTION("""COMPUTED_VALUE"""),"Lintang Kurniawati,Rita Wijayanti,Nur Kholis,")</f>
        <v>Lintang Kurniawati,Rita Wijayanti,Nur Kholis,</v>
      </c>
      <c r="Q245" s="11" t="str">
        <f>IFERROR(__xludf.DUMMYFUNCTION("""COMPUTED_VALUE"""),"https://jurnal.unimus.ac.id/index.php/MAX/article/view/7730")</f>
        <v>https://jurnal.unimus.ac.id/index.php/MAX/article/view/7730</v>
      </c>
      <c r="R245" s="6"/>
    </row>
    <row r="246">
      <c r="A246" s="5">
        <f>IFERROR(__xludf.DUMMYFUNCTION("""COMPUTED_VALUE"""),245.0)</f>
        <v>245</v>
      </c>
      <c r="B246" s="6" t="str">
        <f>IFERROR(__xludf.DUMMYFUNCTION("""COMPUTED_VALUE"""),"Corporate Governance Dan Profitabilitas Terhadap Penghindaran Pajak. Bagaimana Pengaruhnya?")</f>
        <v>Corporate Governance Dan Profitabilitas Terhadap Penghindaran Pajak. Bagaimana Pengaruhnya?</v>
      </c>
      <c r="C246" s="7">
        <f>IFERROR(__xludf.DUMMYFUNCTION("""COMPUTED_VALUE"""),2021.0)</f>
        <v>2021</v>
      </c>
      <c r="D246" s="8" t="str">
        <f>IFERROR(__xludf.DUMMYFUNCTION("""COMPUTED_VALUE"""),"2021/2022")</f>
        <v>2021/2022</v>
      </c>
      <c r="E246" s="9">
        <f>IFERROR(__xludf.DUMMYFUNCTION("""COMPUTED_VALUE"""),44559.0)</f>
        <v>44559</v>
      </c>
      <c r="F246" s="5" t="str">
        <f>IFERROR(__xludf.DUMMYFUNCTION("""COMPUTED_VALUE"""),"Ganjil")</f>
        <v>Ganjil</v>
      </c>
      <c r="G246" s="5" t="str">
        <f>IFERROR(__xludf.DUMMYFUNCTION("""COMPUTED_VALUE"""),"Akuntansi")</f>
        <v>Akuntansi</v>
      </c>
      <c r="H246" s="10" t="str">
        <f>IFERROR(__xludf.DUMMYFUNCTION("""COMPUTED_VALUE"""),"Mahasiswa")</f>
        <v>Mahasiswa</v>
      </c>
      <c r="I246" s="6" t="str">
        <f>IFERROR(__xludf.DUMMYFUNCTION("""COMPUTED_VALUE"""),"Devia Oktaviana")</f>
        <v>Devia Oktaviana</v>
      </c>
      <c r="J246" s="6" t="str">
        <f>IFERROR(__xludf.DUMMYFUNCTION("""COMPUTED_VALUE"""),"Nur Kholis")</f>
        <v>Nur Kholis</v>
      </c>
      <c r="K246" s="6"/>
      <c r="L246" s="6"/>
      <c r="M246" s="6"/>
      <c r="N246" s="6"/>
      <c r="O246" s="6"/>
      <c r="P246" s="10" t="str">
        <f>IFERROR(__xludf.DUMMYFUNCTION("""COMPUTED_VALUE"""),"Devia Oktaviana,Nur Kholis,,")</f>
        <v>Devia Oktaviana,Nur Kholis,,</v>
      </c>
      <c r="Q246" s="11" t="str">
        <f>IFERROR(__xludf.DUMMYFUNCTION("""COMPUTED_VALUE"""),"https://jurnaltsm.id/index.php/JBA/article/view/931")</f>
        <v>https://jurnaltsm.id/index.php/JBA/article/view/931</v>
      </c>
      <c r="R246" s="6"/>
    </row>
    <row r="247">
      <c r="A247" s="5">
        <f>IFERROR(__xludf.DUMMYFUNCTION("""COMPUTED_VALUE"""),246.0)</f>
        <v>246</v>
      </c>
      <c r="B247" s="6" t="str">
        <f>IFERROR(__xludf.DUMMYFUNCTION("""COMPUTED_VALUE"""),"Pengaruh Harga, Kualitas Produk, dan Celebrity Endorser Tehadap Minat Beli Produk Scarlett Whitening (Studi Kasus Pada Perempuan Di Surakarta)")</f>
        <v>Pengaruh Harga, Kualitas Produk, dan Celebrity Endorser Tehadap Minat Beli Produk Scarlett Whitening (Studi Kasus Pada Perempuan Di Surakarta)</v>
      </c>
      <c r="C247" s="7">
        <f>IFERROR(__xludf.DUMMYFUNCTION("""COMPUTED_VALUE"""),2021.0)</f>
        <v>2021</v>
      </c>
      <c r="D247" s="8" t="str">
        <f>IFERROR(__xludf.DUMMYFUNCTION("""COMPUTED_VALUE"""),"2021/2022")</f>
        <v>2021/2022</v>
      </c>
      <c r="E247" s="9">
        <f>IFERROR(__xludf.DUMMYFUNCTION("""COMPUTED_VALUE"""),44559.0)</f>
        <v>44559</v>
      </c>
      <c r="F247" s="5" t="str">
        <f>IFERROR(__xludf.DUMMYFUNCTION("""COMPUTED_VALUE"""),"Ganjil")</f>
        <v>Ganjil</v>
      </c>
      <c r="G247" s="5" t="str">
        <f>IFERROR(__xludf.DUMMYFUNCTION("""COMPUTED_VALUE"""),"")</f>
        <v/>
      </c>
      <c r="H247" s="10" t="str">
        <f>IFERROR(__xludf.DUMMYFUNCTION("""COMPUTED_VALUE"""),"Mahasiswa")</f>
        <v>Mahasiswa</v>
      </c>
      <c r="I247" s="6" t="str">
        <f>IFERROR(__xludf.DUMMYFUNCTION("""COMPUTED_VALUE"""),"Risma Misnanto Putr
")</f>
        <v>Risma Misnanto Putr
</v>
      </c>
      <c r="J247" s="6"/>
      <c r="K247" s="6"/>
      <c r="L247" s="6"/>
      <c r="M247" s="6"/>
      <c r="N247" s="6"/>
      <c r="O247" s="6"/>
      <c r="P247" s="10" t="str">
        <f>IFERROR(__xludf.DUMMYFUNCTION("""COMPUTED_VALUE"""),"Risma Misnanto Putr
,,,")</f>
        <v>Risma Misnanto Putr
,,,</v>
      </c>
      <c r="Q247" s="11" t="str">
        <f>IFERROR(__xludf.DUMMYFUNCTION("""COMPUTED_VALUE"""),"https://jurnalfe.ustjogja.ac.id/index.php/ekobis/article/view/2204")</f>
        <v>https://jurnalfe.ustjogja.ac.id/index.php/ekobis/article/view/2204</v>
      </c>
      <c r="R247" s="6"/>
    </row>
    <row r="248">
      <c r="A248" s="5">
        <f>IFERROR(__xludf.DUMMYFUNCTION("""COMPUTED_VALUE"""),247.0)</f>
        <v>247</v>
      </c>
      <c r="B248" s="6" t="str">
        <f>IFERROR(__xludf.DUMMYFUNCTION("""COMPUTED_VALUE"""),"Pengaruh Variabel Reputasi, Keamanan, Dan Kemudahan Terhadap Keputusan Pembelian Masyarakat Solo di Shopee")</f>
        <v>Pengaruh Variabel Reputasi, Keamanan, Dan Kemudahan Terhadap Keputusan Pembelian Masyarakat Solo di Shopee</v>
      </c>
      <c r="C248" s="7">
        <f>IFERROR(__xludf.DUMMYFUNCTION("""COMPUTED_VALUE"""),2021.0)</f>
        <v>2021</v>
      </c>
      <c r="D248" s="8" t="str">
        <f>IFERROR(__xludf.DUMMYFUNCTION("""COMPUTED_VALUE"""),"2021/2022")</f>
        <v>2021/2022</v>
      </c>
      <c r="E248" s="9">
        <f>IFERROR(__xludf.DUMMYFUNCTION("""COMPUTED_VALUE"""),44559.0)</f>
        <v>44559</v>
      </c>
      <c r="F248" s="5" t="str">
        <f>IFERROR(__xludf.DUMMYFUNCTION("""COMPUTED_VALUE"""),"Ganjil")</f>
        <v>Ganjil</v>
      </c>
      <c r="G248" s="5" t="str">
        <f>IFERROR(__xludf.DUMMYFUNCTION("""COMPUTED_VALUE"""),"Manajemen")</f>
        <v>Manajemen</v>
      </c>
      <c r="H248" s="10" t="str">
        <f>IFERROR(__xludf.DUMMYFUNCTION("""COMPUTED_VALUE"""),"Mahasiswa")</f>
        <v>Mahasiswa</v>
      </c>
      <c r="I248" s="6" t="str">
        <f>IFERROR(__xludf.DUMMYFUNCTION("""COMPUTED_VALUE"""),"Yesy Selviana")</f>
        <v>Yesy Selviana</v>
      </c>
      <c r="J248" s="6" t="str">
        <f>IFERROR(__xludf.DUMMYFUNCTION("""COMPUTED_VALUE"""),"Budi Istiyanto")</f>
        <v>Budi Istiyanto</v>
      </c>
      <c r="K248" s="6"/>
      <c r="L248" s="6"/>
      <c r="M248" s="6"/>
      <c r="N248" s="6"/>
      <c r="O248" s="6"/>
      <c r="P248" s="10" t="str">
        <f>IFERROR(__xludf.DUMMYFUNCTION("""COMPUTED_VALUE"""),"Yesy Selviana,Budi Istiyanto,,")</f>
        <v>Yesy Selviana,Budi Istiyanto,,</v>
      </c>
      <c r="Q248" s="11" t="str">
        <f>IFERROR(__xludf.DUMMYFUNCTION("""COMPUTED_VALUE"""),"https://ejournal.mandalabhakti.ac.id/index.php/mabha/article/view/30")</f>
        <v>https://ejournal.mandalabhakti.ac.id/index.php/mabha/article/view/30</v>
      </c>
      <c r="R248" s="6"/>
    </row>
    <row r="249">
      <c r="A249" s="5">
        <f>IFERROR(__xludf.DUMMYFUNCTION("""COMPUTED_VALUE"""),248.0)</f>
        <v>248</v>
      </c>
      <c r="B249" s="6" t="str">
        <f>IFERROR(__xludf.DUMMYFUNCTION("""COMPUTED_VALUE"""),"Pengaruh Media Sosial, Harga, Kemudahan Penggunaan Terhadap Keputusan Pembelian Online")</f>
        <v>Pengaruh Media Sosial, Harga, Kemudahan Penggunaan Terhadap Keputusan Pembelian Online</v>
      </c>
      <c r="C249" s="7">
        <f>IFERROR(__xludf.DUMMYFUNCTION("""COMPUTED_VALUE"""),2021.0)</f>
        <v>2021</v>
      </c>
      <c r="D249" s="8" t="str">
        <f>IFERROR(__xludf.DUMMYFUNCTION("""COMPUTED_VALUE"""),"2021/2022")</f>
        <v>2021/2022</v>
      </c>
      <c r="E249" s="9">
        <f>IFERROR(__xludf.DUMMYFUNCTION("""COMPUTED_VALUE"""),44559.0)</f>
        <v>44559</v>
      </c>
      <c r="F249" s="5" t="str">
        <f>IFERROR(__xludf.DUMMYFUNCTION("""COMPUTED_VALUE"""),"Ganjil")</f>
        <v>Ganjil</v>
      </c>
      <c r="G249" s="5" t="str">
        <f>IFERROR(__xludf.DUMMYFUNCTION("""COMPUTED_VALUE"""),"Manajemen")</f>
        <v>Manajemen</v>
      </c>
      <c r="H249" s="10" t="str">
        <f>IFERROR(__xludf.DUMMYFUNCTION("""COMPUTED_VALUE"""),"Mahasiswa")</f>
        <v>Mahasiswa</v>
      </c>
      <c r="I249" s="6" t="str">
        <f>IFERROR(__xludf.DUMMYFUNCTION("""COMPUTED_VALUE"""),"Andi Kurniawan")</f>
        <v>Andi Kurniawan</v>
      </c>
      <c r="J249" s="6" t="str">
        <f>IFERROR(__xludf.DUMMYFUNCTION("""COMPUTED_VALUE"""),"Budi Istiyanto")</f>
        <v>Budi Istiyanto</v>
      </c>
      <c r="K249" s="6"/>
      <c r="L249" s="6"/>
      <c r="M249" s="6"/>
      <c r="N249" s="6"/>
      <c r="O249" s="6"/>
      <c r="P249" s="10" t="str">
        <f>IFERROR(__xludf.DUMMYFUNCTION("""COMPUTED_VALUE"""),"Andi Kurniawan,Budi Istiyanto,,")</f>
        <v>Andi Kurniawan,Budi Istiyanto,,</v>
      </c>
      <c r="Q249" s="11" t="str">
        <f>IFERROR(__xludf.DUMMYFUNCTION("""COMPUTED_VALUE"""),"https://jurnal.stiesurakarta.ac.id/index.php/jebdeker/article/view/68")</f>
        <v>https://jurnal.stiesurakarta.ac.id/index.php/jebdeker/article/view/68</v>
      </c>
      <c r="R249" s="6"/>
    </row>
    <row r="250">
      <c r="A250" s="5">
        <f>IFERROR(__xludf.DUMMYFUNCTION("""COMPUTED_VALUE"""),249.0)</f>
        <v>249</v>
      </c>
      <c r="B250" s="6" t="str">
        <f>IFERROR(__xludf.DUMMYFUNCTION("""COMPUTED_VALUE"""),"Peran Pemerintah Kelurahan Dalam Pengembangan Umkm")</f>
        <v>Peran Pemerintah Kelurahan Dalam Pengembangan Umkm</v>
      </c>
      <c r="C250" s="7">
        <f>IFERROR(__xludf.DUMMYFUNCTION("""COMPUTED_VALUE"""),2021.0)</f>
        <v>2021</v>
      </c>
      <c r="D250" s="8" t="str">
        <f>IFERROR(__xludf.DUMMYFUNCTION("""COMPUTED_VALUE"""),"2021/2022")</f>
        <v>2021/2022</v>
      </c>
      <c r="E250" s="9">
        <f>IFERROR(__xludf.DUMMYFUNCTION("""COMPUTED_VALUE"""),44559.0)</f>
        <v>44559</v>
      </c>
      <c r="F250" s="5" t="str">
        <f>IFERROR(__xludf.DUMMYFUNCTION("""COMPUTED_VALUE"""),"Ganjil")</f>
        <v>Ganjil</v>
      </c>
      <c r="G250" s="5" t="str">
        <f>IFERROR(__xludf.DUMMYFUNCTION("""COMPUTED_VALUE"""),"Manajemen")</f>
        <v>Manajemen</v>
      </c>
      <c r="H250" s="10" t="str">
        <f>IFERROR(__xludf.DUMMYFUNCTION("""COMPUTED_VALUE"""),"Mahasiswa")</f>
        <v>Mahasiswa</v>
      </c>
      <c r="I250" s="6" t="str">
        <f>IFERROR(__xludf.DUMMYFUNCTION("""COMPUTED_VALUE"""),"Wury Hartanti")</f>
        <v>Wury Hartanti</v>
      </c>
      <c r="J250" s="6" t="str">
        <f>IFERROR(__xludf.DUMMYFUNCTION("""COMPUTED_VALUE"""),"Christiawan Hendratmoko")</f>
        <v>Christiawan Hendratmoko</v>
      </c>
      <c r="K250" s="6"/>
      <c r="L250" s="6"/>
      <c r="M250" s="6"/>
      <c r="N250" s="6"/>
      <c r="O250" s="6"/>
      <c r="P250" s="10" t="str">
        <f>IFERROR(__xludf.DUMMYFUNCTION("""COMPUTED_VALUE"""),"Wury Hartanti,Christiawan Hendratmoko,,")</f>
        <v>Wury Hartanti,Christiawan Hendratmoko,,</v>
      </c>
      <c r="Q250" s="11" t="str">
        <f>IFERROR(__xludf.DUMMYFUNCTION("""COMPUTED_VALUE"""),"https://journal.uniku.ac.id/index.php/ijsm/article/view/3952")</f>
        <v>https://journal.uniku.ac.id/index.php/ijsm/article/view/3952</v>
      </c>
      <c r="R250" s="6"/>
    </row>
    <row r="251">
      <c r="A251" s="5">
        <f>IFERROR(__xludf.DUMMYFUNCTION("""COMPUTED_VALUE"""),250.0)</f>
        <v>250</v>
      </c>
      <c r="B251" s="6" t="str">
        <f>IFERROR(__xludf.DUMMYFUNCTION("""COMPUTED_VALUE"""),"Menguji Pengaruh Burnout, Job Insecurity, Work-Family Conflict Dan Gaya Kepemimpinan Transformasional Terhadap Turnover Intention")</f>
        <v>Menguji Pengaruh Burnout, Job Insecurity, Work-Family Conflict Dan Gaya Kepemimpinan Transformasional Terhadap Turnover Intention</v>
      </c>
      <c r="C251" s="7">
        <f>IFERROR(__xludf.DUMMYFUNCTION("""COMPUTED_VALUE"""),2021.0)</f>
        <v>2021</v>
      </c>
      <c r="D251" s="8" t="str">
        <f>IFERROR(__xludf.DUMMYFUNCTION("""COMPUTED_VALUE"""),"2021/2022")</f>
        <v>2021/2022</v>
      </c>
      <c r="E251" s="9">
        <f>IFERROR(__xludf.DUMMYFUNCTION("""COMPUTED_VALUE"""),44559.0)</f>
        <v>44559</v>
      </c>
      <c r="F251" s="5" t="str">
        <f>IFERROR(__xludf.DUMMYFUNCTION("""COMPUTED_VALUE"""),"Ganjil")</f>
        <v>Ganjil</v>
      </c>
      <c r="G251" s="5" t="str">
        <f>IFERROR(__xludf.DUMMYFUNCTION("""COMPUTED_VALUE"""),"Manajemen")</f>
        <v>Manajemen</v>
      </c>
      <c r="H251" s="10" t="str">
        <f>IFERROR(__xludf.DUMMYFUNCTION("""COMPUTED_VALUE"""),"Mahasiswa")</f>
        <v>Mahasiswa</v>
      </c>
      <c r="I251" s="6" t="str">
        <f>IFERROR(__xludf.DUMMYFUNCTION("""COMPUTED_VALUE"""),"Ayu Paramita")</f>
        <v>Ayu Paramita</v>
      </c>
      <c r="J251" s="6" t="str">
        <f>IFERROR(__xludf.DUMMYFUNCTION("""COMPUTED_VALUE"""),"Christiawan Hendratmoko")</f>
        <v>Christiawan Hendratmoko</v>
      </c>
      <c r="K251" s="6"/>
      <c r="L251" s="6"/>
      <c r="M251" s="6"/>
      <c r="N251" s="6"/>
      <c r="O251" s="6"/>
      <c r="P251" s="10" t="str">
        <f>IFERROR(__xludf.DUMMYFUNCTION("""COMPUTED_VALUE"""),"Ayu Paramita,Christiawan Hendratmoko,,")</f>
        <v>Ayu Paramita,Christiawan Hendratmoko,,</v>
      </c>
      <c r="Q251" s="11" t="str">
        <f>IFERROR(__xludf.DUMMYFUNCTION("""COMPUTED_VALUE"""),"https://journal.feb.unmul.ac.id/index.php/JURNALMANAJEMEN/article/view/10074")</f>
        <v>https://journal.feb.unmul.ac.id/index.php/JURNALMANAJEMEN/article/view/10074</v>
      </c>
      <c r="R251" s="6"/>
    </row>
    <row r="252">
      <c r="A252" s="5">
        <f>IFERROR(__xludf.DUMMYFUNCTION("""COMPUTED_VALUE"""),251.0)</f>
        <v>251</v>
      </c>
      <c r="B252" s="6" t="str">
        <f>IFERROR(__xludf.DUMMYFUNCTION("""COMPUTED_VALUE"""),"Pengaruh Persepsi Manfaat, Kemudahan Penggunaan Dan Keamanan Terhadap Minat Menggunakan Aplikasi Ovo")</f>
        <v>Pengaruh Persepsi Manfaat, Kemudahan Penggunaan Dan Keamanan Terhadap Minat Menggunakan Aplikasi Ovo</v>
      </c>
      <c r="C252" s="7">
        <f>IFERROR(__xludf.DUMMYFUNCTION("""COMPUTED_VALUE"""),2021.0)</f>
        <v>2021</v>
      </c>
      <c r="D252" s="8" t="str">
        <f>IFERROR(__xludf.DUMMYFUNCTION("""COMPUTED_VALUE"""),"2021/2022")</f>
        <v>2021/2022</v>
      </c>
      <c r="E252" s="9">
        <f>IFERROR(__xludf.DUMMYFUNCTION("""COMPUTED_VALUE"""),44559.0)</f>
        <v>44559</v>
      </c>
      <c r="F252" s="5" t="str">
        <f>IFERROR(__xludf.DUMMYFUNCTION("""COMPUTED_VALUE"""),"Ganjil")</f>
        <v>Ganjil</v>
      </c>
      <c r="G252" s="5" t="str">
        <f>IFERROR(__xludf.DUMMYFUNCTION("""COMPUTED_VALUE"""),"Manajemen")</f>
        <v>Manajemen</v>
      </c>
      <c r="H252" s="10" t="str">
        <f>IFERROR(__xludf.DUMMYFUNCTION("""COMPUTED_VALUE"""),"Mahasiswa")</f>
        <v>Mahasiswa</v>
      </c>
      <c r="I252" s="6" t="str">
        <f>IFERROR(__xludf.DUMMYFUNCTION("""COMPUTED_VALUE"""),"Latifah Robaniyah")</f>
        <v>Latifah Robaniyah</v>
      </c>
      <c r="J252" s="6" t="str">
        <f>IFERROR(__xludf.DUMMYFUNCTION("""COMPUTED_VALUE"""),"Heny Kurnianingsih")</f>
        <v>Heny Kurnianingsih</v>
      </c>
      <c r="K252" s="6"/>
      <c r="L252" s="6"/>
      <c r="M252" s="6"/>
      <c r="N252" s="6"/>
      <c r="O252" s="6"/>
      <c r="P252" s="10" t="str">
        <f>IFERROR(__xludf.DUMMYFUNCTION("""COMPUTED_VALUE"""),"Latifah Robaniyah,Heny Kurnianingsih,,")</f>
        <v>Latifah Robaniyah,Heny Kurnianingsih,,</v>
      </c>
      <c r="Q252" s="11" t="str">
        <f>IFERROR(__xludf.DUMMYFUNCTION("""COMPUTED_VALUE"""),"https://ejournal.upi.edu/index.php/image/article/view/32009")</f>
        <v>https://ejournal.upi.edu/index.php/image/article/view/32009</v>
      </c>
      <c r="R252" s="6"/>
    </row>
    <row r="253">
      <c r="A253" s="5">
        <f>IFERROR(__xludf.DUMMYFUNCTION("""COMPUTED_VALUE"""),252.0)</f>
        <v>252</v>
      </c>
      <c r="B253" s="6" t="str">
        <f>IFERROR(__xludf.DUMMYFUNCTION("""COMPUTED_VALUE"""),"Pengaruh Gaya Hidup, Fitur, Desain Dan Kualitas Produk Terhadap Keputusan Pembelian Smartphone Merek Samsung")</f>
        <v>Pengaruh Gaya Hidup, Fitur, Desain Dan Kualitas Produk Terhadap Keputusan Pembelian Smartphone Merek Samsung</v>
      </c>
      <c r="C253" s="7">
        <f>IFERROR(__xludf.DUMMYFUNCTION("""COMPUTED_VALUE"""),2021.0)</f>
        <v>2021</v>
      </c>
      <c r="D253" s="8" t="str">
        <f>IFERROR(__xludf.DUMMYFUNCTION("""COMPUTED_VALUE"""),"2021/2022")</f>
        <v>2021/2022</v>
      </c>
      <c r="E253" s="9">
        <f>IFERROR(__xludf.DUMMYFUNCTION("""COMPUTED_VALUE"""),44559.0)</f>
        <v>44559</v>
      </c>
      <c r="F253" s="5" t="str">
        <f>IFERROR(__xludf.DUMMYFUNCTION("""COMPUTED_VALUE"""),"Ganjil")</f>
        <v>Ganjil</v>
      </c>
      <c r="G253" s="5" t="str">
        <f>IFERROR(__xludf.DUMMYFUNCTION("""COMPUTED_VALUE"""),"Manajemen")</f>
        <v>Manajemen</v>
      </c>
      <c r="H253" s="10" t="str">
        <f>IFERROR(__xludf.DUMMYFUNCTION("""COMPUTED_VALUE"""),"Mahasiswa")</f>
        <v>Mahasiswa</v>
      </c>
      <c r="I253" s="6"/>
      <c r="J253" s="6" t="str">
        <f>IFERROR(__xludf.DUMMYFUNCTION("""COMPUTED_VALUE"""),"Heny Kurnianingsih")</f>
        <v>Heny Kurnianingsih</v>
      </c>
      <c r="K253" s="6"/>
      <c r="L253" s="6"/>
      <c r="M253" s="6"/>
      <c r="N253" s="6"/>
      <c r="O253" s="6"/>
      <c r="P253" s="10" t="str">
        <f>IFERROR(__xludf.DUMMYFUNCTION("""COMPUTED_VALUE"""),",Heny Kurnianingsih,,")</f>
        <v>,Heny Kurnianingsih,,</v>
      </c>
      <c r="Q253" s="6"/>
      <c r="R253" s="6"/>
    </row>
    <row r="254">
      <c r="A254" s="5">
        <f>IFERROR(__xludf.DUMMYFUNCTION("""COMPUTED_VALUE"""),253.0)</f>
        <v>253</v>
      </c>
      <c r="B254" s="6" t="str">
        <f>IFERROR(__xludf.DUMMYFUNCTION("""COMPUTED_VALUE"""),"The Effect Of Eps, Roa, Der, And Pbv On Stock Prices On The Lq45 Index Amid Covid-19 Pandemic")</f>
        <v>The Effect Of Eps, Roa, Der, And Pbv On Stock Prices On The Lq45 Index Amid Covid-19 Pandemic</v>
      </c>
      <c r="C254" s="7">
        <f>IFERROR(__xludf.DUMMYFUNCTION("""COMPUTED_VALUE"""),2021.0)</f>
        <v>2021</v>
      </c>
      <c r="D254" s="8" t="str">
        <f>IFERROR(__xludf.DUMMYFUNCTION("""COMPUTED_VALUE"""),"2021/2022")</f>
        <v>2021/2022</v>
      </c>
      <c r="E254" s="9">
        <f>IFERROR(__xludf.DUMMYFUNCTION("""COMPUTED_VALUE"""),44559.0)</f>
        <v>44559</v>
      </c>
      <c r="F254" s="5" t="str">
        <f>IFERROR(__xludf.DUMMYFUNCTION("""COMPUTED_VALUE"""),"Ganjil")</f>
        <v>Ganjil</v>
      </c>
      <c r="G254" s="5" t="str">
        <f>IFERROR(__xludf.DUMMYFUNCTION("""COMPUTED_VALUE"""),"Manajemen")</f>
        <v>Manajemen</v>
      </c>
      <c r="H254" s="10" t="str">
        <f>IFERROR(__xludf.DUMMYFUNCTION("""COMPUTED_VALUE"""),"Mahasiswa")</f>
        <v>Mahasiswa</v>
      </c>
      <c r="I254" s="6" t="str">
        <f>IFERROR(__xludf.DUMMYFUNCTION("""COMPUTED_VALUE"""),"Yudhi Supriyanto")</f>
        <v>Yudhi Supriyanto</v>
      </c>
      <c r="J254" s="6" t="str">
        <f>IFERROR(__xludf.DUMMYFUNCTION("""COMPUTED_VALUE"""),"Heny Kurnianingsih")</f>
        <v>Heny Kurnianingsih</v>
      </c>
      <c r="K254" s="6"/>
      <c r="L254" s="6"/>
      <c r="M254" s="6"/>
      <c r="N254" s="6"/>
      <c r="O254" s="6"/>
      <c r="P254" s="10" t="str">
        <f>IFERROR(__xludf.DUMMYFUNCTION("""COMPUTED_VALUE"""),"Yudhi Supriyanto,Heny Kurnianingsih,,")</f>
        <v>Yudhi Supriyanto,Heny Kurnianingsih,,</v>
      </c>
      <c r="Q254" s="11" t="str">
        <f>IFERROR(__xludf.DUMMYFUNCTION("""COMPUTED_VALUE"""),"https://www.semanticscholar.org/paper/THE-EFFECT-OF-EPS%2C-ROA%2C-DER%2C-AND-PBV-ON-STOCK-ON-Surakarta/596f6cdd13308d8de070cbaee7197ad394d6014a")</f>
        <v>https://www.semanticscholar.org/paper/THE-EFFECT-OF-EPS%2C-ROA%2C-DER%2C-AND-PBV-ON-STOCK-ON-Surakarta/596f6cdd13308d8de070cbaee7197ad394d6014a</v>
      </c>
      <c r="R254" s="6"/>
    </row>
    <row r="255">
      <c r="A255" s="5">
        <f>IFERROR(__xludf.DUMMYFUNCTION("""COMPUTED_VALUE"""),254.0)</f>
        <v>254</v>
      </c>
      <c r="B255" s="6" t="str">
        <f>IFERROR(__xludf.DUMMYFUNCTION("""COMPUTED_VALUE"""),"Behavior Analysis Of Millenial Investors On Interest In Investing Sharia Capital Market Indonesia Stock Exchange")</f>
        <v>Behavior Analysis Of Millenial Investors On Interest In Investing Sharia Capital Market Indonesia Stock Exchange</v>
      </c>
      <c r="C255" s="7">
        <f>IFERROR(__xludf.DUMMYFUNCTION("""COMPUTED_VALUE"""),2021.0)</f>
        <v>2021</v>
      </c>
      <c r="D255" s="8" t="str">
        <f>IFERROR(__xludf.DUMMYFUNCTION("""COMPUTED_VALUE"""),"2021/2022")</f>
        <v>2021/2022</v>
      </c>
      <c r="E255" s="9">
        <f>IFERROR(__xludf.DUMMYFUNCTION("""COMPUTED_VALUE"""),44559.0)</f>
        <v>44559</v>
      </c>
      <c r="F255" s="5" t="str">
        <f>IFERROR(__xludf.DUMMYFUNCTION("""COMPUTED_VALUE"""),"Ganjil")</f>
        <v>Ganjil</v>
      </c>
      <c r="G255" s="5" t="str">
        <f>IFERROR(__xludf.DUMMYFUNCTION("""COMPUTED_VALUE"""),"")</f>
        <v/>
      </c>
      <c r="H255" s="10" t="str">
        <f>IFERROR(__xludf.DUMMYFUNCTION("""COMPUTED_VALUE"""),"Mahasiswa")</f>
        <v>Mahasiswa</v>
      </c>
      <c r="I255" s="6"/>
      <c r="J255" s="6"/>
      <c r="K255" s="6"/>
      <c r="L255" s="6"/>
      <c r="M255" s="6"/>
      <c r="N255" s="6"/>
      <c r="O255" s="6"/>
      <c r="P255" s="10" t="str">
        <f>IFERROR(__xludf.DUMMYFUNCTION("""COMPUTED_VALUE"""),",,,")</f>
        <v>,,,</v>
      </c>
      <c r="Q255" s="6"/>
      <c r="R255" s="6"/>
    </row>
    <row r="256">
      <c r="A256" s="5">
        <f>IFERROR(__xludf.DUMMYFUNCTION("""COMPUTED_VALUE"""),255.0)</f>
        <v>255</v>
      </c>
      <c r="B256" s="6" t="str">
        <f>IFERROR(__xludf.DUMMYFUNCTION("""COMPUTED_VALUE"""),"Analisa Pengaruh Wajib Pajak Dalam Membayar Pajak Kendaraan Bermotor")</f>
        <v>Analisa Pengaruh Wajib Pajak Dalam Membayar Pajak Kendaraan Bermotor</v>
      </c>
      <c r="C256" s="7">
        <f>IFERROR(__xludf.DUMMYFUNCTION("""COMPUTED_VALUE"""),2021.0)</f>
        <v>2021</v>
      </c>
      <c r="D256" s="8" t="str">
        <f>IFERROR(__xludf.DUMMYFUNCTION("""COMPUTED_VALUE"""),"2021/2022")</f>
        <v>2021/2022</v>
      </c>
      <c r="E256" s="9">
        <f>IFERROR(__xludf.DUMMYFUNCTION("""COMPUTED_VALUE"""),44559.0)</f>
        <v>44559</v>
      </c>
      <c r="F256" s="5" t="str">
        <f>IFERROR(__xludf.DUMMYFUNCTION("""COMPUTED_VALUE"""),"Ganjil")</f>
        <v>Ganjil</v>
      </c>
      <c r="G256" s="5" t="str">
        <f>IFERROR(__xludf.DUMMYFUNCTION("""COMPUTED_VALUE"""),"Akuntansi")</f>
        <v>Akuntansi</v>
      </c>
      <c r="H256" s="10" t="str">
        <f>IFERROR(__xludf.DUMMYFUNCTION("""COMPUTED_VALUE"""),"Mahasiswa")</f>
        <v>Mahasiswa</v>
      </c>
      <c r="I256" s="6" t="str">
        <f>IFERROR(__xludf.DUMMYFUNCTION("""COMPUTED_VALUE"""),"Intan Nio Kusumawati")</f>
        <v>Intan Nio Kusumawati</v>
      </c>
      <c r="J256" s="6" t="str">
        <f>IFERROR(__xludf.DUMMYFUNCTION("""COMPUTED_VALUE"""),"Arif Nugroho Rachman")</f>
        <v>Arif Nugroho Rachman</v>
      </c>
      <c r="K256" s="6"/>
      <c r="L256" s="6"/>
      <c r="M256" s="6"/>
      <c r="N256" s="6"/>
      <c r="O256" s="6"/>
      <c r="P256" s="10" t="str">
        <f>IFERROR(__xludf.DUMMYFUNCTION("""COMPUTED_VALUE"""),"Intan Nio Kusumawati,Arif Nugroho Rachman,,")</f>
        <v>Intan Nio Kusumawati,Arif Nugroho Rachman,,</v>
      </c>
      <c r="Q256" s="11" t="str">
        <f>IFERROR(__xludf.DUMMYFUNCTION("""COMPUTED_VALUE"""),"https://jurnal.untirta.ac.id/index.php/Ekonomi-Qu/article/view/11272")</f>
        <v>https://jurnal.untirta.ac.id/index.php/Ekonomi-Qu/article/view/11272</v>
      </c>
      <c r="R256" s="6"/>
    </row>
    <row r="257">
      <c r="A257" s="5">
        <f>IFERROR(__xludf.DUMMYFUNCTION("""COMPUTED_VALUE"""),256.0)</f>
        <v>256</v>
      </c>
      <c r="B257" s="6" t="str">
        <f>IFERROR(__xludf.DUMMYFUNCTION("""COMPUTED_VALUE"""),"Analisa Pengaruh Kepatuhan Wajib Pajak Kendaraan Bermotor Kabupaten Wonogiri")</f>
        <v>Analisa Pengaruh Kepatuhan Wajib Pajak Kendaraan Bermotor Kabupaten Wonogiri</v>
      </c>
      <c r="C257" s="7">
        <f>IFERROR(__xludf.DUMMYFUNCTION("""COMPUTED_VALUE"""),2021.0)</f>
        <v>2021</v>
      </c>
      <c r="D257" s="8" t="str">
        <f>IFERROR(__xludf.DUMMYFUNCTION("""COMPUTED_VALUE"""),"2021/2022")</f>
        <v>2021/2022</v>
      </c>
      <c r="E257" s="9">
        <f>IFERROR(__xludf.DUMMYFUNCTION("""COMPUTED_VALUE"""),44559.0)</f>
        <v>44559</v>
      </c>
      <c r="F257" s="5" t="str">
        <f>IFERROR(__xludf.DUMMYFUNCTION("""COMPUTED_VALUE"""),"Ganjil")</f>
        <v>Ganjil</v>
      </c>
      <c r="G257" s="5" t="str">
        <f>IFERROR(__xludf.DUMMYFUNCTION("""COMPUTED_VALUE"""),"Akuntansi")</f>
        <v>Akuntansi</v>
      </c>
      <c r="H257" s="10" t="str">
        <f>IFERROR(__xludf.DUMMYFUNCTION("""COMPUTED_VALUE"""),"Mahasiswa")</f>
        <v>Mahasiswa</v>
      </c>
      <c r="I257" s="6" t="str">
        <f>IFERROR(__xludf.DUMMYFUNCTION("""COMPUTED_VALUE"""),"Gede Ayu Sakura")</f>
        <v>Gede Ayu Sakura</v>
      </c>
      <c r="J257" s="6" t="str">
        <f>IFERROR(__xludf.DUMMYFUNCTION("""COMPUTED_VALUE"""),"Arif Nugroho Rachman")</f>
        <v>Arif Nugroho Rachman</v>
      </c>
      <c r="K257" s="6"/>
      <c r="L257" s="6"/>
      <c r="M257" s="6"/>
      <c r="N257" s="6"/>
      <c r="O257" s="6"/>
      <c r="P257" s="10" t="str">
        <f>IFERROR(__xludf.DUMMYFUNCTION("""COMPUTED_VALUE"""),"Gede Ayu Sakura,Arif Nugroho Rachman,,")</f>
        <v>Gede Ayu Sakura,Arif Nugroho Rachman,,</v>
      </c>
      <c r="Q257" s="11" t="str">
        <f>IFERROR(__xludf.DUMMYFUNCTION("""COMPUTED_VALUE"""),"https://e-journal.unipma.ac.id/index.php/inventory/article/view/8614")</f>
        <v>https://e-journal.unipma.ac.id/index.php/inventory/article/view/8614</v>
      </c>
      <c r="R257" s="6"/>
    </row>
    <row r="258">
      <c r="A258" s="5">
        <f>IFERROR(__xludf.DUMMYFUNCTION("""COMPUTED_VALUE"""),257.0)</f>
        <v>257</v>
      </c>
      <c r="B258" s="6" t="str">
        <f>IFERROR(__xludf.DUMMYFUNCTION("""COMPUTED_VALUE"""),"Faktor-Faktor Yang Mempengaruhi Kepatuhan Wajib Pajak Dalam Membayar Pbb")</f>
        <v>Faktor-Faktor Yang Mempengaruhi Kepatuhan Wajib Pajak Dalam Membayar Pbb</v>
      </c>
      <c r="C258" s="7">
        <f>IFERROR(__xludf.DUMMYFUNCTION("""COMPUTED_VALUE"""),2021.0)</f>
        <v>2021</v>
      </c>
      <c r="D258" s="8" t="str">
        <f>IFERROR(__xludf.DUMMYFUNCTION("""COMPUTED_VALUE"""),"2021/2022")</f>
        <v>2021/2022</v>
      </c>
      <c r="E258" s="9">
        <f>IFERROR(__xludf.DUMMYFUNCTION("""COMPUTED_VALUE"""),44559.0)</f>
        <v>44559</v>
      </c>
      <c r="F258" s="5" t="str">
        <f>IFERROR(__xludf.DUMMYFUNCTION("""COMPUTED_VALUE"""),"Ganjil")</f>
        <v>Ganjil</v>
      </c>
      <c r="G258" s="5" t="str">
        <f>IFERROR(__xludf.DUMMYFUNCTION("""COMPUTED_VALUE"""),"Akuntansi")</f>
        <v>Akuntansi</v>
      </c>
      <c r="H258" s="10" t="str">
        <f>IFERROR(__xludf.DUMMYFUNCTION("""COMPUTED_VALUE"""),"Mahasiswa")</f>
        <v>Mahasiswa</v>
      </c>
      <c r="I258" s="6" t="str">
        <f>IFERROR(__xludf.DUMMYFUNCTION("""COMPUTED_VALUE"""),"Fatikah Nur Khasanah")</f>
        <v>Fatikah Nur Khasanah</v>
      </c>
      <c r="J258" s="6" t="str">
        <f>IFERROR(__xludf.DUMMYFUNCTION("""COMPUTED_VALUE"""),"Arif Nugroho Rachman")</f>
        <v>Arif Nugroho Rachman</v>
      </c>
      <c r="K258" s="6"/>
      <c r="L258" s="6"/>
      <c r="M258" s="6"/>
      <c r="N258" s="6"/>
      <c r="O258" s="6"/>
      <c r="P258" s="10" t="str">
        <f>IFERROR(__xludf.DUMMYFUNCTION("""COMPUTED_VALUE"""),"Fatikah Nur Khasanah,Arif Nugroho Rachman,,")</f>
        <v>Fatikah Nur Khasanah,Arif Nugroho Rachman,,</v>
      </c>
      <c r="Q258" s="11" t="str">
        <f>IFERROR(__xludf.DUMMYFUNCTION("""COMPUTED_VALUE"""),"https://e-journal.unipma.ac.id/index.php/inventory/article/view/8615")</f>
        <v>https://e-journal.unipma.ac.id/index.php/inventory/article/view/8615</v>
      </c>
      <c r="R258" s="6"/>
    </row>
    <row r="259">
      <c r="A259" s="5">
        <f>IFERROR(__xludf.DUMMYFUNCTION("""COMPUTED_VALUE"""),258.0)</f>
        <v>258</v>
      </c>
      <c r="B259" s="6" t="str">
        <f>IFERROR(__xludf.DUMMYFUNCTION("""COMPUTED_VALUE"""),"Pengaruh Kinerja Keuangan, Risk Based Capital, Ukuran Perusahaan Dan Makroekonomi Terhadap Financial Distress")</f>
        <v>Pengaruh Kinerja Keuangan, Risk Based Capital, Ukuran Perusahaan Dan Makroekonomi Terhadap Financial Distress</v>
      </c>
      <c r="C259" s="7">
        <f>IFERROR(__xludf.DUMMYFUNCTION("""COMPUTED_VALUE"""),2021.0)</f>
        <v>2021</v>
      </c>
      <c r="D259" s="8" t="str">
        <f>IFERROR(__xludf.DUMMYFUNCTION("""COMPUTED_VALUE"""),"2021/2022")</f>
        <v>2021/2022</v>
      </c>
      <c r="E259" s="9">
        <f>IFERROR(__xludf.DUMMYFUNCTION("""COMPUTED_VALUE"""),44559.0)</f>
        <v>44559</v>
      </c>
      <c r="F259" s="5" t="str">
        <f>IFERROR(__xludf.DUMMYFUNCTION("""COMPUTED_VALUE"""),"Ganjil")</f>
        <v>Ganjil</v>
      </c>
      <c r="G259" s="5" t="str">
        <f>IFERROR(__xludf.DUMMYFUNCTION("""COMPUTED_VALUE"""),"Akuntansi")</f>
        <v>Akuntansi</v>
      </c>
      <c r="H259" s="10" t="str">
        <f>IFERROR(__xludf.DUMMYFUNCTION("""COMPUTED_VALUE"""),"Mahasiswa")</f>
        <v>Mahasiswa</v>
      </c>
      <c r="I259" s="6" t="str">
        <f>IFERROR(__xludf.DUMMYFUNCTION("""COMPUTED_VALUE"""),"Agustina Nilasari")</f>
        <v>Agustina Nilasari</v>
      </c>
      <c r="J259" s="6" t="str">
        <f>IFERROR(__xludf.DUMMYFUNCTION("""COMPUTED_VALUE"""),"Ismunawan")</f>
        <v>Ismunawan</v>
      </c>
      <c r="K259" s="6"/>
      <c r="L259" s="6"/>
      <c r="M259" s="6"/>
      <c r="N259" s="6"/>
      <c r="O259" s="6"/>
      <c r="P259" s="10" t="str">
        <f>IFERROR(__xludf.DUMMYFUNCTION("""COMPUTED_VALUE"""),"Agustina Nilasari,Ismunawan,,")</f>
        <v>Agustina Nilasari,Ismunawan,,</v>
      </c>
      <c r="Q259" s="11" t="str">
        <f>IFERROR(__xludf.DUMMYFUNCTION("""COMPUTED_VALUE"""),"https://jurnal.untan.ac.id/index.php/JJ/article/view/44793/pdf")</f>
        <v>https://jurnal.untan.ac.id/index.php/JJ/article/view/44793/pdf</v>
      </c>
      <c r="R259" s="6"/>
    </row>
    <row r="260">
      <c r="A260" s="5">
        <f>IFERROR(__xludf.DUMMYFUNCTION("""COMPUTED_VALUE"""),259.0)</f>
        <v>259</v>
      </c>
      <c r="B260" s="6" t="str">
        <f>IFERROR(__xludf.DUMMYFUNCTION("""COMPUTED_VALUE"""),"Faktor Faktor Yang Mempengaruhi Kualitas Informasi Laporan Keuangan Pemerintah Daerah")</f>
        <v>Faktor Faktor Yang Mempengaruhi Kualitas Informasi Laporan Keuangan Pemerintah Daerah</v>
      </c>
      <c r="C260" s="7">
        <f>IFERROR(__xludf.DUMMYFUNCTION("""COMPUTED_VALUE"""),2021.0)</f>
        <v>2021</v>
      </c>
      <c r="D260" s="8" t="str">
        <f>IFERROR(__xludf.DUMMYFUNCTION("""COMPUTED_VALUE"""),"2021/2022")</f>
        <v>2021/2022</v>
      </c>
      <c r="E260" s="9">
        <f>IFERROR(__xludf.DUMMYFUNCTION("""COMPUTED_VALUE"""),44559.0)</f>
        <v>44559</v>
      </c>
      <c r="F260" s="5" t="str">
        <f>IFERROR(__xludf.DUMMYFUNCTION("""COMPUTED_VALUE"""),"Ganjil")</f>
        <v>Ganjil</v>
      </c>
      <c r="G260" s="5" t="str">
        <f>IFERROR(__xludf.DUMMYFUNCTION("""COMPUTED_VALUE"""),"Akuntansi")</f>
        <v>Akuntansi</v>
      </c>
      <c r="H260" s="10" t="str">
        <f>IFERROR(__xludf.DUMMYFUNCTION("""COMPUTED_VALUE"""),"Mahasiswa")</f>
        <v>Mahasiswa</v>
      </c>
      <c r="I260" s="6" t="str">
        <f>IFERROR(__xludf.DUMMYFUNCTION("""COMPUTED_VALUE"""),"Siti Qomah")</f>
        <v>Siti Qomah</v>
      </c>
      <c r="J260" s="6" t="str">
        <f>IFERROR(__xludf.DUMMYFUNCTION("""COMPUTED_VALUE"""),"Ismunawan")</f>
        <v>Ismunawan</v>
      </c>
      <c r="K260" s="6"/>
      <c r="L260" s="6"/>
      <c r="M260" s="6"/>
      <c r="N260" s="6"/>
      <c r="O260" s="6"/>
      <c r="P260" s="10" t="str">
        <f>IFERROR(__xludf.DUMMYFUNCTION("""COMPUTED_VALUE"""),"Siti Qomah,Ismunawan,,")</f>
        <v>Siti Qomah,Ismunawan,,</v>
      </c>
      <c r="Q260" s="11" t="str">
        <f>IFERROR(__xludf.DUMMYFUNCTION("""COMPUTED_VALUE"""),"https://e-journal.trisakti.ac.id/index.php/jat/article/view/8718")</f>
        <v>https://e-journal.trisakti.ac.id/index.php/jat/article/view/8718</v>
      </c>
      <c r="R260" s="6"/>
    </row>
    <row r="261">
      <c r="A261" s="5">
        <f>IFERROR(__xludf.DUMMYFUNCTION("""COMPUTED_VALUE"""),260.0)</f>
        <v>260</v>
      </c>
      <c r="B261" s="6" t="str">
        <f>IFERROR(__xludf.DUMMYFUNCTION("""COMPUTED_VALUE"""),"Impact Covid-19 Terhadap Rentabilitas Bank Perkreditan Rakyat Konvensional Di Kabupaten Sukoharjo")</f>
        <v>Impact Covid-19 Terhadap Rentabilitas Bank Perkreditan Rakyat Konvensional Di Kabupaten Sukoharjo</v>
      </c>
      <c r="C261" s="7">
        <f>IFERROR(__xludf.DUMMYFUNCTION("""COMPUTED_VALUE"""),2021.0)</f>
        <v>2021</v>
      </c>
      <c r="D261" s="8" t="str">
        <f>IFERROR(__xludf.DUMMYFUNCTION("""COMPUTED_VALUE"""),"2021/2022")</f>
        <v>2021/2022</v>
      </c>
      <c r="E261" s="9">
        <f>IFERROR(__xludf.DUMMYFUNCTION("""COMPUTED_VALUE"""),44559.0)</f>
        <v>44559</v>
      </c>
      <c r="F261" s="5" t="str">
        <f>IFERROR(__xludf.DUMMYFUNCTION("""COMPUTED_VALUE"""),"Ganjil")</f>
        <v>Ganjil</v>
      </c>
      <c r="G261" s="5" t="str">
        <f>IFERROR(__xludf.DUMMYFUNCTION("""COMPUTED_VALUE"""),"Akuntansi")</f>
        <v>Akuntansi</v>
      </c>
      <c r="H261" s="10" t="str">
        <f>IFERROR(__xludf.DUMMYFUNCTION("""COMPUTED_VALUE"""),"Mahasiswa")</f>
        <v>Mahasiswa</v>
      </c>
      <c r="I261" s="6" t="str">
        <f>IFERROR(__xludf.DUMMYFUNCTION("""COMPUTED_VALUE"""),"POERNANINGRUM SEKAR WARDHANI")</f>
        <v>POERNANINGRUM SEKAR WARDHANI</v>
      </c>
      <c r="J261" s="6" t="str">
        <f>IFERROR(__xludf.DUMMYFUNCTION("""COMPUTED_VALUE"""),"Ismunawan")</f>
        <v>Ismunawan</v>
      </c>
      <c r="K261" s="6"/>
      <c r="L261" s="6"/>
      <c r="M261" s="6"/>
      <c r="N261" s="6"/>
      <c r="O261" s="6"/>
      <c r="P261" s="10" t="str">
        <f>IFERROR(__xludf.DUMMYFUNCTION("""COMPUTED_VALUE"""),"POERNANINGRUM SEKAR WARDHANI,Ismunawan,,")</f>
        <v>POERNANINGRUM SEKAR WARDHANI,Ismunawan,,</v>
      </c>
      <c r="Q261" s="11" t="str">
        <f>IFERROR(__xludf.DUMMYFUNCTION("""COMPUTED_VALUE"""),"https://jurnaltsm.id/index.php/JBA/article/view/927")</f>
        <v>https://jurnaltsm.id/index.php/JBA/article/view/927</v>
      </c>
      <c r="R261" s="6"/>
    </row>
    <row r="262">
      <c r="A262" s="5">
        <f>IFERROR(__xludf.DUMMYFUNCTION("""COMPUTED_VALUE"""),261.0)</f>
        <v>261</v>
      </c>
      <c r="B262" s="6" t="str">
        <f>IFERROR(__xludf.DUMMYFUNCTION("""COMPUTED_VALUE"""),"Determinan Kualitas Laporan Keuangan Di Al Azhar Syifa Budi Solo")</f>
        <v>Determinan Kualitas Laporan Keuangan Di Al Azhar Syifa Budi Solo</v>
      </c>
      <c r="C262" s="7">
        <f>IFERROR(__xludf.DUMMYFUNCTION("""COMPUTED_VALUE"""),2021.0)</f>
        <v>2021</v>
      </c>
      <c r="D262" s="8" t="str">
        <f>IFERROR(__xludf.DUMMYFUNCTION("""COMPUTED_VALUE"""),"2021/2022")</f>
        <v>2021/2022</v>
      </c>
      <c r="E262" s="9">
        <f>IFERROR(__xludf.DUMMYFUNCTION("""COMPUTED_VALUE"""),44559.0)</f>
        <v>44559</v>
      </c>
      <c r="F262" s="5" t="str">
        <f>IFERROR(__xludf.DUMMYFUNCTION("""COMPUTED_VALUE"""),"Ganjil")</f>
        <v>Ganjil</v>
      </c>
      <c r="G262" s="5" t="str">
        <f>IFERROR(__xludf.DUMMYFUNCTION("""COMPUTED_VALUE"""),"Akuntansi")</f>
        <v>Akuntansi</v>
      </c>
      <c r="H262" s="10" t="str">
        <f>IFERROR(__xludf.DUMMYFUNCTION("""COMPUTED_VALUE"""),"Dosen")</f>
        <v>Dosen</v>
      </c>
      <c r="I262" s="6" t="str">
        <f>IFERROR(__xludf.DUMMYFUNCTION("""COMPUTED_VALUE"""),"Ismunawan")</f>
        <v>Ismunawan</v>
      </c>
      <c r="J262" s="6" t="str">
        <f>IFERROR(__xludf.DUMMYFUNCTION("""COMPUTED_VALUE"""),"Sriningrum Andayani")</f>
        <v>Sriningrum Andayani</v>
      </c>
      <c r="K262" s="6"/>
      <c r="L262" s="6"/>
      <c r="M262" s="6"/>
      <c r="N262" s="6"/>
      <c r="O262" s="6"/>
      <c r="P262" s="10" t="str">
        <f>IFERROR(__xludf.DUMMYFUNCTION("""COMPUTED_VALUE"""),"Ismunawan,Sriningrum Andayani,,")</f>
        <v>Ismunawan,Sriningrum Andayani,,</v>
      </c>
      <c r="Q262" s="11" t="str">
        <f>IFERROR(__xludf.DUMMYFUNCTION("""COMPUTED_VALUE"""),"https://jurnal.stie-aas.ac.id/index.php/jap/article/view/2384")</f>
        <v>https://jurnal.stie-aas.ac.id/index.php/jap/article/view/2384</v>
      </c>
      <c r="R262" s="6"/>
    </row>
    <row r="263">
      <c r="A263" s="5">
        <f>IFERROR(__xludf.DUMMYFUNCTION("""COMPUTED_VALUE"""),262.0)</f>
        <v>262</v>
      </c>
      <c r="B263" s="6" t="str">
        <f>IFERROR(__xludf.DUMMYFUNCTION("""COMPUTED_VALUE"""),"Dampak Merger Dan Akuisisi Terhadap Kinerja Keuangan Perusahaan (Studi Kasus Perusahaan Sektor Perbankan Yang Terdaftar Di Bei Periode 2017-2019)")</f>
        <v>Dampak Merger Dan Akuisisi Terhadap Kinerja Keuangan Perusahaan (Studi Kasus Perusahaan Sektor Perbankan Yang Terdaftar Di Bei Periode 2017-2019)</v>
      </c>
      <c r="C263" s="7">
        <f>IFERROR(__xludf.DUMMYFUNCTION("""COMPUTED_VALUE"""),2021.0)</f>
        <v>2021</v>
      </c>
      <c r="D263" s="8" t="str">
        <f>IFERROR(__xludf.DUMMYFUNCTION("""COMPUTED_VALUE"""),"2021/2022")</f>
        <v>2021/2022</v>
      </c>
      <c r="E263" s="9">
        <f>IFERROR(__xludf.DUMMYFUNCTION("""COMPUTED_VALUE"""),44559.0)</f>
        <v>44559</v>
      </c>
      <c r="F263" s="5" t="str">
        <f>IFERROR(__xludf.DUMMYFUNCTION("""COMPUTED_VALUE"""),"Ganjil")</f>
        <v>Ganjil</v>
      </c>
      <c r="G263" s="5" t="str">
        <f>IFERROR(__xludf.DUMMYFUNCTION("""COMPUTED_VALUE"""),"Akuntansi")</f>
        <v>Akuntansi</v>
      </c>
      <c r="H263" s="10" t="str">
        <f>IFERROR(__xludf.DUMMYFUNCTION("""COMPUTED_VALUE"""),"Mahasiswa")</f>
        <v>Mahasiswa</v>
      </c>
      <c r="I263" s="6" t="str">
        <f>IFERROR(__xludf.DUMMYFUNCTION("""COMPUTED_VALUE"""),"Hilda Arinta Winnie Pramesti")</f>
        <v>Hilda Arinta Winnie Pramesti</v>
      </c>
      <c r="J263" s="6" t="str">
        <f>IFERROR(__xludf.DUMMYFUNCTION("""COMPUTED_VALUE"""),"Ismunawan")</f>
        <v>Ismunawan</v>
      </c>
      <c r="K263" s="6"/>
      <c r="L263" s="6"/>
      <c r="M263" s="6"/>
      <c r="N263" s="6"/>
      <c r="O263" s="6"/>
      <c r="P263" s="10" t="str">
        <f>IFERROR(__xludf.DUMMYFUNCTION("""COMPUTED_VALUE"""),"Hilda Arinta Winnie Pramesti,Ismunawan,,")</f>
        <v>Hilda Arinta Winnie Pramesti,Ismunawan,,</v>
      </c>
      <c r="Q263" s="11" t="str">
        <f>IFERROR(__xludf.DUMMYFUNCTION("""COMPUTED_VALUE"""),"https://jurnal.stiesurakarta.ac.id/index.php/jebdeker/article/view/77")</f>
        <v>https://jurnal.stiesurakarta.ac.id/index.php/jebdeker/article/view/77</v>
      </c>
      <c r="R263" s="6"/>
    </row>
    <row r="264">
      <c r="A264" s="5">
        <f>IFERROR(__xludf.DUMMYFUNCTION("""COMPUTED_VALUE"""),263.0)</f>
        <v>263</v>
      </c>
      <c r="B264" s="6" t="str">
        <f>IFERROR(__xludf.DUMMYFUNCTION("""COMPUTED_VALUE"""),"Analisa Faktor-Faktor Pengaruh Minat Beli Paket Data Telkomsel Dengan Masa Pandemi Covid 19 Sebagai Variabel Moderating")</f>
        <v>Analisa Faktor-Faktor Pengaruh Minat Beli Paket Data Telkomsel Dengan Masa Pandemi Covid 19 Sebagai Variabel Moderating</v>
      </c>
      <c r="C264" s="7">
        <f>IFERROR(__xludf.DUMMYFUNCTION("""COMPUTED_VALUE"""),2021.0)</f>
        <v>2021</v>
      </c>
      <c r="D264" s="8" t="str">
        <f>IFERROR(__xludf.DUMMYFUNCTION("""COMPUTED_VALUE"""),"2021/2022")</f>
        <v>2021/2022</v>
      </c>
      <c r="E264" s="9">
        <f>IFERROR(__xludf.DUMMYFUNCTION("""COMPUTED_VALUE"""),44559.0)</f>
        <v>44559</v>
      </c>
      <c r="F264" s="5" t="str">
        <f>IFERROR(__xludf.DUMMYFUNCTION("""COMPUTED_VALUE"""),"Ganjil")</f>
        <v>Ganjil</v>
      </c>
      <c r="G264" s="5" t="str">
        <f>IFERROR(__xludf.DUMMYFUNCTION("""COMPUTED_VALUE"""),"Manajemen")</f>
        <v>Manajemen</v>
      </c>
      <c r="H264" s="10" t="str">
        <f>IFERROR(__xludf.DUMMYFUNCTION("""COMPUTED_VALUE"""),"Mahasiswa")</f>
        <v>Mahasiswa</v>
      </c>
      <c r="I264" s="6" t="str">
        <f>IFERROR(__xludf.DUMMYFUNCTION("""COMPUTED_VALUE"""),"Astri Mariana Isniawati")</f>
        <v>Astri Mariana Isniawati</v>
      </c>
      <c r="J264" s="6" t="str">
        <f>IFERROR(__xludf.DUMMYFUNCTION("""COMPUTED_VALUE"""),"Muhammad Jalari")</f>
        <v>Muhammad Jalari</v>
      </c>
      <c r="K264" s="6"/>
      <c r="L264" s="6"/>
      <c r="M264" s="6"/>
      <c r="N264" s="6"/>
      <c r="O264" s="6"/>
      <c r="P264" s="10" t="str">
        <f>IFERROR(__xludf.DUMMYFUNCTION("""COMPUTED_VALUE"""),"Astri Mariana Isniawati,Muhammad Jalari,,")</f>
        <v>Astri Mariana Isniawati,Muhammad Jalari,,</v>
      </c>
      <c r="Q264" s="11" t="str">
        <f>IFERROR(__xludf.DUMMYFUNCTION("""COMPUTED_VALUE"""),"https://ejournals.fkwu.uniga.ac.id/index.php/BIEJ/article/view/212")</f>
        <v>https://ejournals.fkwu.uniga.ac.id/index.php/BIEJ/article/view/212</v>
      </c>
      <c r="R264" s="6"/>
    </row>
    <row r="265">
      <c r="A265" s="5">
        <f>IFERROR(__xludf.DUMMYFUNCTION("""COMPUTED_VALUE"""),264.0)</f>
        <v>264</v>
      </c>
      <c r="B265" s="6" t="str">
        <f>IFERROR(__xludf.DUMMYFUNCTION("""COMPUTED_VALUE"""),"Menguji Marketing Mix 7P Terhadap Keputusan Pembelian Shopee Di Sukoharjo")</f>
        <v>Menguji Marketing Mix 7P Terhadap Keputusan Pembelian Shopee Di Sukoharjo</v>
      </c>
      <c r="C265" s="7">
        <f>IFERROR(__xludf.DUMMYFUNCTION("""COMPUTED_VALUE"""),2021.0)</f>
        <v>2021</v>
      </c>
      <c r="D265" s="8" t="str">
        <f>IFERROR(__xludf.DUMMYFUNCTION("""COMPUTED_VALUE"""),"2021/2022")</f>
        <v>2021/2022</v>
      </c>
      <c r="E265" s="9">
        <f>IFERROR(__xludf.DUMMYFUNCTION("""COMPUTED_VALUE"""),44559.0)</f>
        <v>44559</v>
      </c>
      <c r="F265" s="5" t="str">
        <f>IFERROR(__xludf.DUMMYFUNCTION("""COMPUTED_VALUE"""),"Ganjil")</f>
        <v>Ganjil</v>
      </c>
      <c r="G265" s="5" t="str">
        <f>IFERROR(__xludf.DUMMYFUNCTION("""COMPUTED_VALUE"""),"Manajemen")</f>
        <v>Manajemen</v>
      </c>
      <c r="H265" s="10" t="str">
        <f>IFERROR(__xludf.DUMMYFUNCTION("""COMPUTED_VALUE"""),"Mahasiswa")</f>
        <v>Mahasiswa</v>
      </c>
      <c r="I265" s="6" t="str">
        <f>IFERROR(__xludf.DUMMYFUNCTION("""COMPUTED_VALUE"""),"Khusnul Khotimah")</f>
        <v>Khusnul Khotimah</v>
      </c>
      <c r="J265" s="6" t="str">
        <f>IFERROR(__xludf.DUMMYFUNCTION("""COMPUTED_VALUE"""),"Muhammad Jalari")</f>
        <v>Muhammad Jalari</v>
      </c>
      <c r="K265" s="6"/>
      <c r="L265" s="6"/>
      <c r="M265" s="6"/>
      <c r="N265" s="6"/>
      <c r="O265" s="6"/>
      <c r="P265" s="10" t="str">
        <f>IFERROR(__xludf.DUMMYFUNCTION("""COMPUTED_VALUE"""),"Khusnul Khotimah,Muhammad Jalari,,")</f>
        <v>Khusnul Khotimah,Muhammad Jalari,,</v>
      </c>
      <c r="Q265" s="11" t="str">
        <f>IFERROR(__xludf.DUMMYFUNCTION("""COMPUTED_VALUE"""),"https://maker.ac.id/index.php/maker/article/view/285")</f>
        <v>https://maker.ac.id/index.php/maker/article/view/285</v>
      </c>
      <c r="R265" s="6"/>
    </row>
    <row r="266">
      <c r="A266" s="5">
        <f>IFERROR(__xludf.DUMMYFUNCTION("""COMPUTED_VALUE"""),265.0)</f>
        <v>265</v>
      </c>
      <c r="B266" s="6" t="str">
        <f>IFERROR(__xludf.DUMMYFUNCTION("""COMPUTED_VALUE"""),"Faktor-Faktor Yang Mempengaruhi Keputusan Pembelian Belanja Online Melalui E-Commerce Shopee (Studi Empiris Pengguna E-Commerce Shopee Di Boyolali)")</f>
        <v>Faktor-Faktor Yang Mempengaruhi Keputusan Pembelian Belanja Online Melalui E-Commerce Shopee (Studi Empiris Pengguna E-Commerce Shopee Di Boyolali)</v>
      </c>
      <c r="C266" s="7">
        <f>IFERROR(__xludf.DUMMYFUNCTION("""COMPUTED_VALUE"""),2021.0)</f>
        <v>2021</v>
      </c>
      <c r="D266" s="8" t="str">
        <f>IFERROR(__xludf.DUMMYFUNCTION("""COMPUTED_VALUE"""),"2021/2022")</f>
        <v>2021/2022</v>
      </c>
      <c r="E266" s="9">
        <f>IFERROR(__xludf.DUMMYFUNCTION("""COMPUTED_VALUE"""),44559.0)</f>
        <v>44559</v>
      </c>
      <c r="F266" s="5" t="str">
        <f>IFERROR(__xludf.DUMMYFUNCTION("""COMPUTED_VALUE"""),"Ganjil")</f>
        <v>Ganjil</v>
      </c>
      <c r="G266" s="5" t="str">
        <f>IFERROR(__xludf.DUMMYFUNCTION("""COMPUTED_VALUE"""),"Manajemen")</f>
        <v>Manajemen</v>
      </c>
      <c r="H266" s="10" t="str">
        <f>IFERROR(__xludf.DUMMYFUNCTION("""COMPUTED_VALUE"""),"Mahasiswa")</f>
        <v>Mahasiswa</v>
      </c>
      <c r="I266" s="6" t="str">
        <f>IFERROR(__xludf.DUMMYFUNCTION("""COMPUTED_VALUE"""),"Kurnia Dwi Candra Asih")</f>
        <v>Kurnia Dwi Candra Asih</v>
      </c>
      <c r="J266" s="6" t="str">
        <f>IFERROR(__xludf.DUMMYFUNCTION("""COMPUTED_VALUE"""),"Muhammad Jalari")</f>
        <v>Muhammad Jalari</v>
      </c>
      <c r="K266" s="6"/>
      <c r="L266" s="6"/>
      <c r="M266" s="6"/>
      <c r="N266" s="6"/>
      <c r="O266" s="6"/>
      <c r="P266" s="10" t="str">
        <f>IFERROR(__xludf.DUMMYFUNCTION("""COMPUTED_VALUE"""),"Kurnia Dwi Candra Asih,Muhammad Jalari,,")</f>
        <v>Kurnia Dwi Candra Asih,Muhammad Jalari,,</v>
      </c>
      <c r="Q266" s="11" t="str">
        <f>IFERROR(__xludf.DUMMYFUNCTION("""COMPUTED_VALUE"""),"https://jurnal.stiesurakarta.ac.id/index.php/jebdeker/article/view/65")</f>
        <v>https://jurnal.stiesurakarta.ac.id/index.php/jebdeker/article/view/65</v>
      </c>
      <c r="R266" s="6"/>
    </row>
    <row r="267">
      <c r="A267" s="5">
        <f>IFERROR(__xludf.DUMMYFUNCTION("""COMPUTED_VALUE"""),266.0)</f>
        <v>266</v>
      </c>
      <c r="B267" s="6" t="str">
        <f>IFERROR(__xludf.DUMMYFUNCTION("""COMPUTED_VALUE"""),"Penilaian Kepuasan Dengan Model End User Computing Satisfaction Bagi Pengguna Aplikasi Financial Technology (Studi Kasus Bagi Pengguna Aplikasi Linkaja)")</f>
        <v>Penilaian Kepuasan Dengan Model End User Computing Satisfaction Bagi Pengguna Aplikasi Financial Technology (Studi Kasus Bagi Pengguna Aplikasi Linkaja)</v>
      </c>
      <c r="C267" s="7">
        <f>IFERROR(__xludf.DUMMYFUNCTION("""COMPUTED_VALUE"""),2021.0)</f>
        <v>2021</v>
      </c>
      <c r="D267" s="8" t="str">
        <f>IFERROR(__xludf.DUMMYFUNCTION("""COMPUTED_VALUE"""),"2021/2022")</f>
        <v>2021/2022</v>
      </c>
      <c r="E267" s="9">
        <f>IFERROR(__xludf.DUMMYFUNCTION("""COMPUTED_VALUE"""),44559.0)</f>
        <v>44559</v>
      </c>
      <c r="F267" s="5" t="str">
        <f>IFERROR(__xludf.DUMMYFUNCTION("""COMPUTED_VALUE"""),"Ganjil")</f>
        <v>Ganjil</v>
      </c>
      <c r="G267" s="5" t="str">
        <f>IFERROR(__xludf.DUMMYFUNCTION("""COMPUTED_VALUE"""),"Manajemen")</f>
        <v>Manajemen</v>
      </c>
      <c r="H267" s="10" t="str">
        <f>IFERROR(__xludf.DUMMYFUNCTION("""COMPUTED_VALUE"""),"Mahasiswa")</f>
        <v>Mahasiswa</v>
      </c>
      <c r="I267" s="6" t="str">
        <f>IFERROR(__xludf.DUMMYFUNCTION("""COMPUTED_VALUE"""),"Lambang Wahyu Aji")</f>
        <v>Lambang Wahyu Aji</v>
      </c>
      <c r="J267" s="6" t="str">
        <f>IFERROR(__xludf.DUMMYFUNCTION("""COMPUTED_VALUE"""),"Ida Ayu Kade")</f>
        <v>Ida Ayu Kade</v>
      </c>
      <c r="K267" s="6"/>
      <c r="L267" s="6"/>
      <c r="M267" s="6"/>
      <c r="N267" s="6"/>
      <c r="O267" s="6"/>
      <c r="P267" s="10" t="str">
        <f>IFERROR(__xludf.DUMMYFUNCTION("""COMPUTED_VALUE"""),"Lambang Wahyu Aji,Ida Ayu Kade,,")</f>
        <v>Lambang Wahyu Aji,Ida Ayu Kade,,</v>
      </c>
      <c r="Q267" s="11" t="str">
        <f>IFERROR(__xludf.DUMMYFUNCTION("""COMPUTED_VALUE"""),"https://jim.usk.ac.id/EKM/article/view/17285")</f>
        <v>https://jim.usk.ac.id/EKM/article/view/17285</v>
      </c>
      <c r="R267" s="6"/>
    </row>
    <row r="268">
      <c r="A268" s="5">
        <f>IFERROR(__xludf.DUMMYFUNCTION("""COMPUTED_VALUE"""),267.0)</f>
        <v>267</v>
      </c>
      <c r="B268" s="6" t="str">
        <f>IFERROR(__xludf.DUMMYFUNCTION("""COMPUTED_VALUE"""),"Pengaruh Kepercayaan Konsumen, Loyalitas Konsumen, Dan Kualitas Produk, Terhadap Minat Beli Ulang Kain Rayon Dipabrik Sahatex")</f>
        <v>Pengaruh Kepercayaan Konsumen, Loyalitas Konsumen, Dan Kualitas Produk, Terhadap Minat Beli Ulang Kain Rayon Dipabrik Sahatex</v>
      </c>
      <c r="C268" s="7">
        <f>IFERROR(__xludf.DUMMYFUNCTION("""COMPUTED_VALUE"""),2021.0)</f>
        <v>2021</v>
      </c>
      <c r="D268" s="8" t="str">
        <f>IFERROR(__xludf.DUMMYFUNCTION("""COMPUTED_VALUE"""),"2021/2022")</f>
        <v>2021/2022</v>
      </c>
      <c r="E268" s="9">
        <f>IFERROR(__xludf.DUMMYFUNCTION("""COMPUTED_VALUE"""),44559.0)</f>
        <v>44559</v>
      </c>
      <c r="F268" s="5" t="str">
        <f>IFERROR(__xludf.DUMMYFUNCTION("""COMPUTED_VALUE"""),"Ganjil")</f>
        <v>Ganjil</v>
      </c>
      <c r="G268" s="5" t="str">
        <f>IFERROR(__xludf.DUMMYFUNCTION("""COMPUTED_VALUE"""),"Manajemen")</f>
        <v>Manajemen</v>
      </c>
      <c r="H268" s="10" t="str">
        <f>IFERROR(__xludf.DUMMYFUNCTION("""COMPUTED_VALUE"""),"Mahasiswa")</f>
        <v>Mahasiswa</v>
      </c>
      <c r="I268" s="6" t="str">
        <f>IFERROR(__xludf.DUMMYFUNCTION("""COMPUTED_VALUE"""),"Sabrina Tasya")</f>
        <v>Sabrina Tasya</v>
      </c>
      <c r="J268" s="6" t="str">
        <f>IFERROR(__xludf.DUMMYFUNCTION("""COMPUTED_VALUE"""),"Ida Ayu Kade")</f>
        <v>Ida Ayu Kade</v>
      </c>
      <c r="K268" s="6"/>
      <c r="L268" s="6"/>
      <c r="M268" s="6"/>
      <c r="N268" s="6"/>
      <c r="O268" s="6"/>
      <c r="P268" s="10" t="str">
        <f>IFERROR(__xludf.DUMMYFUNCTION("""COMPUTED_VALUE"""),"Sabrina Tasya,Ida Ayu Kade,,")</f>
        <v>Sabrina Tasya,Ida Ayu Kade,,</v>
      </c>
      <c r="Q268" s="11" t="str">
        <f>IFERROR(__xludf.DUMMYFUNCTION("""COMPUTED_VALUE"""),"https://jurnal.stiesurakarta.ac.id/index.php/jebdeker/article/view/87")</f>
        <v>https://jurnal.stiesurakarta.ac.id/index.php/jebdeker/article/view/87</v>
      </c>
      <c r="R268" s="6"/>
    </row>
    <row r="269">
      <c r="A269" s="5">
        <f>IFERROR(__xludf.DUMMYFUNCTION("""COMPUTED_VALUE"""),268.0)</f>
        <v>268</v>
      </c>
      <c r="B269" s="6" t="str">
        <f>IFERROR(__xludf.DUMMYFUNCTION("""COMPUTED_VALUE"""),"Pengaruh Panic Buying, Bauran Pemasaran, Dan Citra Merk Terhadap Keputusan Pembelian Produk Hand Sanitizer Bratamed")</f>
        <v>Pengaruh Panic Buying, Bauran Pemasaran, Dan Citra Merk Terhadap Keputusan Pembelian Produk Hand Sanitizer Bratamed</v>
      </c>
      <c r="C269" s="7">
        <f>IFERROR(__xludf.DUMMYFUNCTION("""COMPUTED_VALUE"""),2021.0)</f>
        <v>2021</v>
      </c>
      <c r="D269" s="8" t="str">
        <f>IFERROR(__xludf.DUMMYFUNCTION("""COMPUTED_VALUE"""),"2021/2022")</f>
        <v>2021/2022</v>
      </c>
      <c r="E269" s="9">
        <f>IFERROR(__xludf.DUMMYFUNCTION("""COMPUTED_VALUE"""),44559.0)</f>
        <v>44559</v>
      </c>
      <c r="F269" s="5" t="str">
        <f>IFERROR(__xludf.DUMMYFUNCTION("""COMPUTED_VALUE"""),"Ganjil")</f>
        <v>Ganjil</v>
      </c>
      <c r="G269" s="5" t="str">
        <f>IFERROR(__xludf.DUMMYFUNCTION("""COMPUTED_VALUE"""),"")</f>
        <v/>
      </c>
      <c r="H269" s="10" t="str">
        <f>IFERROR(__xludf.DUMMYFUNCTION("""COMPUTED_VALUE"""),"Mahasiswa")</f>
        <v>Mahasiswa</v>
      </c>
      <c r="I269" s="6" t="str">
        <f>IFERROR(__xludf.DUMMYFUNCTION("""COMPUTED_VALUE"""),"Bonifasius Wisandono Sarsanto")</f>
        <v>Bonifasius Wisandono Sarsanto</v>
      </c>
      <c r="J269" s="6"/>
      <c r="K269" s="6"/>
      <c r="L269" s="6"/>
      <c r="M269" s="6"/>
      <c r="N269" s="6"/>
      <c r="O269" s="6"/>
      <c r="P269" s="10" t="str">
        <f>IFERROR(__xludf.DUMMYFUNCTION("""COMPUTED_VALUE"""),"Bonifasius Wisandono Sarsanto,,,")</f>
        <v>Bonifasius Wisandono Sarsanto,,,</v>
      </c>
      <c r="Q269" s="11" t="str">
        <f>IFERROR(__xludf.DUMMYFUNCTION("""COMPUTED_VALUE"""),"https://journal.undiknas.ac.id/index.php/magister-manajemen/article/view/2884")</f>
        <v>https://journal.undiknas.ac.id/index.php/magister-manajemen/article/view/2884</v>
      </c>
      <c r="R269" s="6"/>
    </row>
    <row r="270">
      <c r="A270" s="5">
        <f>IFERROR(__xludf.DUMMYFUNCTION("""COMPUTED_VALUE"""),269.0)</f>
        <v>269</v>
      </c>
      <c r="B270" s="6" t="str">
        <f>IFERROR(__xludf.DUMMYFUNCTION("""COMPUTED_VALUE"""),"Pengaruh Kualitas Produk, Harga Dan Merek Terhadap Keputusan Pembelian Hand Sanitizer Nature Leaf Pada Remaja Di Surakarta")</f>
        <v>Pengaruh Kualitas Produk, Harga Dan Merek Terhadap Keputusan Pembelian Hand Sanitizer Nature Leaf Pada Remaja Di Surakarta</v>
      </c>
      <c r="C270" s="7">
        <f>IFERROR(__xludf.DUMMYFUNCTION("""COMPUTED_VALUE"""),2021.0)</f>
        <v>2021</v>
      </c>
      <c r="D270" s="8" t="str">
        <f>IFERROR(__xludf.DUMMYFUNCTION("""COMPUTED_VALUE"""),"2021/2022")</f>
        <v>2021/2022</v>
      </c>
      <c r="E270" s="9">
        <f>IFERROR(__xludf.DUMMYFUNCTION("""COMPUTED_VALUE"""),44559.0)</f>
        <v>44559</v>
      </c>
      <c r="F270" s="5" t="str">
        <f>IFERROR(__xludf.DUMMYFUNCTION("""COMPUTED_VALUE"""),"Ganjil")</f>
        <v>Ganjil</v>
      </c>
      <c r="G270" s="5" t="str">
        <f>IFERROR(__xludf.DUMMYFUNCTION("""COMPUTED_VALUE"""),"Manajemen")</f>
        <v>Manajemen</v>
      </c>
      <c r="H270" s="10" t="str">
        <f>IFERROR(__xludf.DUMMYFUNCTION("""COMPUTED_VALUE"""),"Mahasiswa")</f>
        <v>Mahasiswa</v>
      </c>
      <c r="I270" s="6" t="str">
        <f>IFERROR(__xludf.DUMMYFUNCTION("""COMPUTED_VALUE"""),"Nia Rahma Astuti")</f>
        <v>Nia Rahma Astuti</v>
      </c>
      <c r="J270" s="6" t="str">
        <f>IFERROR(__xludf.DUMMYFUNCTION("""COMPUTED_VALUE"""),"Andri Nurtantiono")</f>
        <v>Andri Nurtantiono</v>
      </c>
      <c r="K270" s="6"/>
      <c r="L270" s="6"/>
      <c r="M270" s="6"/>
      <c r="N270" s="6"/>
      <c r="O270" s="6"/>
      <c r="P270" s="10" t="str">
        <f>IFERROR(__xludf.DUMMYFUNCTION("""COMPUTED_VALUE"""),"Nia Rahma Astuti,Andri Nurtantiono,,")</f>
        <v>Nia Rahma Astuti,Andri Nurtantiono,,</v>
      </c>
      <c r="Q270" s="11" t="str">
        <f>IFERROR(__xludf.DUMMYFUNCTION("""COMPUTED_VALUE"""),"https://jurnalfe.ustjogja.ac.id/index.php/ekobis/article/view/2287")</f>
        <v>https://jurnalfe.ustjogja.ac.id/index.php/ekobis/article/view/2287</v>
      </c>
      <c r="R270" s="6"/>
    </row>
    <row r="271">
      <c r="A271" s="5">
        <f>IFERROR(__xludf.DUMMYFUNCTION("""COMPUTED_VALUE"""),270.0)</f>
        <v>270</v>
      </c>
      <c r="B271" s="6" t="str">
        <f>IFERROR(__xludf.DUMMYFUNCTION("""COMPUTED_VALUE"""),"Pengaruh Word Of Mouth (Wom), Kualitas Pelayanan, Keamanan Dan Kepercayaan Terhadap Keputusan Konsumen Menggunakan Jasa Transportasi Online Grabbike Di Kota Surakarta")</f>
        <v>Pengaruh Word Of Mouth (Wom), Kualitas Pelayanan, Keamanan Dan Kepercayaan Terhadap Keputusan Konsumen Menggunakan Jasa Transportasi Online Grabbike Di Kota Surakarta</v>
      </c>
      <c r="C271" s="7">
        <f>IFERROR(__xludf.DUMMYFUNCTION("""COMPUTED_VALUE"""),2021.0)</f>
        <v>2021</v>
      </c>
      <c r="D271" s="8" t="str">
        <f>IFERROR(__xludf.DUMMYFUNCTION("""COMPUTED_VALUE"""),"2021/2022")</f>
        <v>2021/2022</v>
      </c>
      <c r="E271" s="9">
        <f>IFERROR(__xludf.DUMMYFUNCTION("""COMPUTED_VALUE"""),44559.0)</f>
        <v>44559</v>
      </c>
      <c r="F271" s="5" t="str">
        <f>IFERROR(__xludf.DUMMYFUNCTION("""COMPUTED_VALUE"""),"Ganjil")</f>
        <v>Ganjil</v>
      </c>
      <c r="G271" s="5" t="str">
        <f>IFERROR(__xludf.DUMMYFUNCTION("""COMPUTED_VALUE"""),"Manajemen")</f>
        <v>Manajemen</v>
      </c>
      <c r="H271" s="10" t="str">
        <f>IFERROR(__xludf.DUMMYFUNCTION("""COMPUTED_VALUE"""),"Mahasiswa")</f>
        <v>Mahasiswa</v>
      </c>
      <c r="I271" s="6" t="str">
        <f>IFERROR(__xludf.DUMMYFUNCTION("""COMPUTED_VALUE"""),"Yasmin Rajaa Nabilah")</f>
        <v>Yasmin Rajaa Nabilah</v>
      </c>
      <c r="J271" s="6" t="str">
        <f>IFERROR(__xludf.DUMMYFUNCTION("""COMPUTED_VALUE"""),"Andri Nurtantiono")</f>
        <v>Andri Nurtantiono</v>
      </c>
      <c r="K271" s="6"/>
      <c r="L271" s="6"/>
      <c r="M271" s="6"/>
      <c r="N271" s="6"/>
      <c r="O271" s="6"/>
      <c r="P271" s="10" t="str">
        <f>IFERROR(__xludf.DUMMYFUNCTION("""COMPUTED_VALUE"""),"Yasmin Rajaa Nabilah,Andri Nurtantiono,,")</f>
        <v>Yasmin Rajaa Nabilah,Andri Nurtantiono,,</v>
      </c>
      <c r="Q271" s="11" t="str">
        <f>IFERROR(__xludf.DUMMYFUNCTION("""COMPUTED_VALUE"""),"https://jurnal.stie-aas.ac.id/index.php/jie/article/view/1381")</f>
        <v>https://jurnal.stie-aas.ac.id/index.php/jie/article/view/1381</v>
      </c>
      <c r="R271" s="6"/>
    </row>
    <row r="272">
      <c r="A272" s="5">
        <f>IFERROR(__xludf.DUMMYFUNCTION("""COMPUTED_VALUE"""),271.0)</f>
        <v>271</v>
      </c>
      <c r="B272" s="6" t="str">
        <f>IFERROR(__xludf.DUMMYFUNCTION("""COMPUTED_VALUE"""),"“Analisis Pengaruh Kualitas Produk, Harga Dan Layanan Purna Jual Terhadap Keputusan Pembelian Hp Iphon")</f>
        <v>“Analisis Pengaruh Kualitas Produk, Harga Dan Layanan Purna Jual Terhadap Keputusan Pembelian Hp Iphon</v>
      </c>
      <c r="C272" s="7">
        <f>IFERROR(__xludf.DUMMYFUNCTION("""COMPUTED_VALUE"""),2021.0)</f>
        <v>2021</v>
      </c>
      <c r="D272" s="8" t="str">
        <f>IFERROR(__xludf.DUMMYFUNCTION("""COMPUTED_VALUE"""),"2021/2022")</f>
        <v>2021/2022</v>
      </c>
      <c r="E272" s="9">
        <f>IFERROR(__xludf.DUMMYFUNCTION("""COMPUTED_VALUE"""),44559.0)</f>
        <v>44559</v>
      </c>
      <c r="F272" s="5" t="str">
        <f>IFERROR(__xludf.DUMMYFUNCTION("""COMPUTED_VALUE"""),"Ganjil")</f>
        <v>Ganjil</v>
      </c>
      <c r="G272" s="5" t="str">
        <f>IFERROR(__xludf.DUMMYFUNCTION("""COMPUTED_VALUE"""),"Manajemen")</f>
        <v>Manajemen</v>
      </c>
      <c r="H272" s="10" t="str">
        <f>IFERROR(__xludf.DUMMYFUNCTION("""COMPUTED_VALUE"""),"Mahasiswa")</f>
        <v>Mahasiswa</v>
      </c>
      <c r="I272" s="6" t="str">
        <f>IFERROR(__xludf.DUMMYFUNCTION("""COMPUTED_VALUE"""),"Digas Dwinta Putra")</f>
        <v>Digas Dwinta Putra</v>
      </c>
      <c r="J272" s="6" t="str">
        <f>IFERROR(__xludf.DUMMYFUNCTION("""COMPUTED_VALUE"""),"Andri Nurtantiono")</f>
        <v>Andri Nurtantiono</v>
      </c>
      <c r="K272" s="6"/>
      <c r="L272" s="6"/>
      <c r="M272" s="6"/>
      <c r="N272" s="6"/>
      <c r="O272" s="6"/>
      <c r="P272" s="10" t="str">
        <f>IFERROR(__xludf.DUMMYFUNCTION("""COMPUTED_VALUE"""),"Digas Dwinta Putra,Andri Nurtantiono,,")</f>
        <v>Digas Dwinta Putra,Andri Nurtantiono,,</v>
      </c>
      <c r="Q272" s="11" t="str">
        <f>IFERROR(__xludf.DUMMYFUNCTION("""COMPUTED_VALUE"""),"https://jurnal.unigal.ac.id/bmej/article/view/4938")</f>
        <v>https://jurnal.unigal.ac.id/bmej/article/view/4938</v>
      </c>
      <c r="R272" s="6"/>
    </row>
    <row r="273">
      <c r="A273" s="5">
        <f>IFERROR(__xludf.DUMMYFUNCTION("""COMPUTED_VALUE"""),272.0)</f>
        <v>272</v>
      </c>
      <c r="B273" s="6" t="str">
        <f>IFERROR(__xludf.DUMMYFUNCTION("""COMPUTED_VALUE"""),"Pengaruh Produk, Persepsi Harga, Promosi Dan Gaya Hidup Terhadap Keputusan Pembelian Produk Wardah Di Solo Raya")</f>
        <v>Pengaruh Produk, Persepsi Harga, Promosi Dan Gaya Hidup Terhadap Keputusan Pembelian Produk Wardah Di Solo Raya</v>
      </c>
      <c r="C273" s="7">
        <f>IFERROR(__xludf.DUMMYFUNCTION("""COMPUTED_VALUE"""),2021.0)</f>
        <v>2021</v>
      </c>
      <c r="D273" s="8" t="str">
        <f>IFERROR(__xludf.DUMMYFUNCTION("""COMPUTED_VALUE"""),"2021/2022")</f>
        <v>2021/2022</v>
      </c>
      <c r="E273" s="9">
        <f>IFERROR(__xludf.DUMMYFUNCTION("""COMPUTED_VALUE"""),44559.0)</f>
        <v>44559</v>
      </c>
      <c r="F273" s="5" t="str">
        <f>IFERROR(__xludf.DUMMYFUNCTION("""COMPUTED_VALUE"""),"Ganjil")</f>
        <v>Ganjil</v>
      </c>
      <c r="G273" s="5" t="str">
        <f>IFERROR(__xludf.DUMMYFUNCTION("""COMPUTED_VALUE"""),"Manajemen")</f>
        <v>Manajemen</v>
      </c>
      <c r="H273" s="10" t="str">
        <f>IFERROR(__xludf.DUMMYFUNCTION("""COMPUTED_VALUE"""),"Mahasiswa")</f>
        <v>Mahasiswa</v>
      </c>
      <c r="I273" s="6" t="str">
        <f>IFERROR(__xludf.DUMMYFUNCTION("""COMPUTED_VALUE"""),"Kusnul Khotimah")</f>
        <v>Kusnul Khotimah</v>
      </c>
      <c r="J273" s="6" t="str">
        <f>IFERROR(__xludf.DUMMYFUNCTION("""COMPUTED_VALUE"""),"Andri Nurtantiono")</f>
        <v>Andri Nurtantiono</v>
      </c>
      <c r="K273" s="6"/>
      <c r="L273" s="6"/>
      <c r="M273" s="6"/>
      <c r="N273" s="6"/>
      <c r="O273" s="6"/>
      <c r="P273" s="10" t="str">
        <f>IFERROR(__xludf.DUMMYFUNCTION("""COMPUTED_VALUE"""),"Kusnul Khotimah,Andri Nurtantiono,,")</f>
        <v>Kusnul Khotimah,Andri Nurtantiono,,</v>
      </c>
      <c r="Q273" s="11" t="str">
        <f>IFERROR(__xludf.DUMMYFUNCTION("""COMPUTED_VALUE"""),"https://journals.unihaz.ac.id/index.php/crmj/article/view/1827/989")</f>
        <v>https://journals.unihaz.ac.id/index.php/crmj/article/view/1827/989</v>
      </c>
      <c r="R273" s="6"/>
    </row>
    <row r="274">
      <c r="A274" s="5">
        <f>IFERROR(__xludf.DUMMYFUNCTION("""COMPUTED_VALUE"""),273.0)</f>
        <v>273</v>
      </c>
      <c r="B274" s="6" t="str">
        <f>IFERROR(__xludf.DUMMYFUNCTION("""COMPUTED_VALUE"""),"Antara Persepsi Dan Pengaruh Lingkungan Terdekat, Faktor Penentu Konsumen Pada Pembelian Sepeda Motor “Honda”")</f>
        <v>Antara Persepsi Dan Pengaruh Lingkungan Terdekat, Faktor Penentu Konsumen Pada Pembelian Sepeda Motor “Honda”</v>
      </c>
      <c r="C274" s="7">
        <f>IFERROR(__xludf.DUMMYFUNCTION("""COMPUTED_VALUE"""),2021.0)</f>
        <v>2021</v>
      </c>
      <c r="D274" s="8" t="str">
        <f>IFERROR(__xludf.DUMMYFUNCTION("""COMPUTED_VALUE"""),"2021/2022")</f>
        <v>2021/2022</v>
      </c>
      <c r="E274" s="9">
        <f>IFERROR(__xludf.DUMMYFUNCTION("""COMPUTED_VALUE"""),44559.0)</f>
        <v>44559</v>
      </c>
      <c r="F274" s="5" t="str">
        <f>IFERROR(__xludf.DUMMYFUNCTION("""COMPUTED_VALUE"""),"Ganjil")</f>
        <v>Ganjil</v>
      </c>
      <c r="G274" s="5" t="str">
        <f>IFERROR(__xludf.DUMMYFUNCTION("""COMPUTED_VALUE"""),"Manajemen")</f>
        <v>Manajemen</v>
      </c>
      <c r="H274" s="10" t="str">
        <f>IFERROR(__xludf.DUMMYFUNCTION("""COMPUTED_VALUE"""),"Dosen")</f>
        <v>Dosen</v>
      </c>
      <c r="I274" s="6" t="str">
        <f>IFERROR(__xludf.DUMMYFUNCTION("""COMPUTED_VALUE"""),"Andri Nurtantiono")</f>
        <v>Andri Nurtantiono</v>
      </c>
      <c r="J274" s="6" t="str">
        <f>IFERROR(__xludf.DUMMYFUNCTION("""COMPUTED_VALUE"""),"Ismail Marzuki")</f>
        <v>Ismail Marzuki</v>
      </c>
      <c r="K274" s="6" t="str">
        <f>IFERROR(__xludf.DUMMYFUNCTION("""COMPUTED_VALUE"""),"Aditya Chinintyawan Kayohakicky")</f>
        <v>Aditya Chinintyawan Kayohakicky</v>
      </c>
      <c r="L274" s="6" t="str">
        <f>IFERROR(__xludf.DUMMYFUNCTION("""COMPUTED_VALUE"""),"Maruti Oktalina")</f>
        <v>Maruti Oktalina</v>
      </c>
      <c r="M274" s="6"/>
      <c r="N274" s="6"/>
      <c r="O274" s="6"/>
      <c r="P274" s="10" t="str">
        <f>IFERROR(__xludf.DUMMYFUNCTION("""COMPUTED_VALUE"""),"Andri Nurtantiono,Ismail Marzuki,Aditya Chinintyawan Kayohakicky,Maruti Oktalina")</f>
        <v>Andri Nurtantiono,Ismail Marzuki,Aditya Chinintyawan Kayohakicky,Maruti Oktalina</v>
      </c>
      <c r="Q274" s="11" t="str">
        <f>IFERROR(__xludf.DUMMYFUNCTION("""COMPUTED_VALUE"""),"https://jurnal.stie-aas.ac.id/index.php/jie/article/view/2988")</f>
        <v>https://jurnal.stie-aas.ac.id/index.php/jie/article/view/2988</v>
      </c>
      <c r="R274" s="6"/>
    </row>
    <row r="275">
      <c r="A275" s="5">
        <f>IFERROR(__xludf.DUMMYFUNCTION("""COMPUTED_VALUE"""),274.0)</f>
        <v>274</v>
      </c>
      <c r="B275" s="6" t="str">
        <f>IFERROR(__xludf.DUMMYFUNCTION("""COMPUTED_VALUE"""),"Evaluasi Pengendalian Piutang Usaha Dalam Upaya Peningkatan Modal Kerja (Studi Pada Pt. Abs)")</f>
        <v>Evaluasi Pengendalian Piutang Usaha Dalam Upaya Peningkatan Modal Kerja (Studi Pada Pt. Abs)</v>
      </c>
      <c r="C275" s="7">
        <f>IFERROR(__xludf.DUMMYFUNCTION("""COMPUTED_VALUE"""),2021.0)</f>
        <v>2021</v>
      </c>
      <c r="D275" s="8" t="str">
        <f>IFERROR(__xludf.DUMMYFUNCTION("""COMPUTED_VALUE"""),"2021/2022")</f>
        <v>2021/2022</v>
      </c>
      <c r="E275" s="9">
        <f>IFERROR(__xludf.DUMMYFUNCTION("""COMPUTED_VALUE"""),44559.0)</f>
        <v>44559</v>
      </c>
      <c r="F275" s="5" t="str">
        <f>IFERROR(__xludf.DUMMYFUNCTION("""COMPUTED_VALUE"""),"Ganjil")</f>
        <v>Ganjil</v>
      </c>
      <c r="G275" s="5" t="str">
        <f>IFERROR(__xludf.DUMMYFUNCTION("""COMPUTED_VALUE"""),"Akuntansi")</f>
        <v>Akuntansi</v>
      </c>
      <c r="H275" s="10" t="str">
        <f>IFERROR(__xludf.DUMMYFUNCTION("""COMPUTED_VALUE"""),"Dosen")</f>
        <v>Dosen</v>
      </c>
      <c r="I275" s="6" t="str">
        <f>IFERROR(__xludf.DUMMYFUNCTION("""COMPUTED_VALUE"""),"Astuning Saharsini")</f>
        <v>Astuning Saharsini</v>
      </c>
      <c r="J275" s="6"/>
      <c r="K275" s="6"/>
      <c r="L275" s="6"/>
      <c r="M275" s="6"/>
      <c r="N275" s="6"/>
      <c r="O275" s="6"/>
      <c r="P275" s="10" t="str">
        <f>IFERROR(__xludf.DUMMYFUNCTION("""COMPUTED_VALUE"""),"Astuning Saharsini,,,")</f>
        <v>Astuning Saharsini,,,</v>
      </c>
      <c r="Q275" s="11" t="str">
        <f>IFERROR(__xludf.DUMMYFUNCTION("""COMPUTED_VALUE"""),"https://jurnal.stiesurakarta.ac.id/index.php/jebdeker/article/view/64")</f>
        <v>https://jurnal.stiesurakarta.ac.id/index.php/jebdeker/article/view/64</v>
      </c>
      <c r="R275" s="6"/>
    </row>
    <row r="276">
      <c r="A276" s="5">
        <f>IFERROR(__xludf.DUMMYFUNCTION("""COMPUTED_VALUE"""),275.0)</f>
        <v>275</v>
      </c>
      <c r="B276" s="6" t="str">
        <f>IFERROR(__xludf.DUMMYFUNCTION("""COMPUTED_VALUE"""),"Marketing Mix Effect On Purchase Decision Of Traditional Jamu Sabdo Palon")</f>
        <v>Marketing Mix Effect On Purchase Decision Of Traditional Jamu Sabdo Palon</v>
      </c>
      <c r="C276" s="7">
        <f>IFERROR(__xludf.DUMMYFUNCTION("""COMPUTED_VALUE"""),2021.0)</f>
        <v>2021</v>
      </c>
      <c r="D276" s="8" t="str">
        <f>IFERROR(__xludf.DUMMYFUNCTION("""COMPUTED_VALUE"""),"2021/2022")</f>
        <v>2021/2022</v>
      </c>
      <c r="E276" s="9">
        <f>IFERROR(__xludf.DUMMYFUNCTION("""COMPUTED_VALUE"""),44559.0)</f>
        <v>44559</v>
      </c>
      <c r="F276" s="5" t="str">
        <f>IFERROR(__xludf.DUMMYFUNCTION("""COMPUTED_VALUE"""),"Ganjil")</f>
        <v>Ganjil</v>
      </c>
      <c r="G276" s="5" t="str">
        <f>IFERROR(__xludf.DUMMYFUNCTION("""COMPUTED_VALUE"""),"Manajemen")</f>
        <v>Manajemen</v>
      </c>
      <c r="H276" s="10" t="str">
        <f>IFERROR(__xludf.DUMMYFUNCTION("""COMPUTED_VALUE"""),"Mahasiswa")</f>
        <v>Mahasiswa</v>
      </c>
      <c r="I276" s="6" t="str">
        <f>IFERROR(__xludf.DUMMYFUNCTION("""COMPUTED_VALUE"""),"Risa Afida Nuraini")</f>
        <v>Risa Afida Nuraini</v>
      </c>
      <c r="J276" s="6" t="str">
        <f>IFERROR(__xludf.DUMMYFUNCTION("""COMPUTED_VALUE"""),"Heny Kurnianingsih")</f>
        <v>Heny Kurnianingsih</v>
      </c>
      <c r="K276" s="6"/>
      <c r="L276" s="6"/>
      <c r="M276" s="6"/>
      <c r="N276" s="6"/>
      <c r="O276" s="6"/>
      <c r="P276" s="10" t="str">
        <f>IFERROR(__xludf.DUMMYFUNCTION("""COMPUTED_VALUE"""),"Risa Afida Nuraini,Heny Kurnianingsih,,")</f>
        <v>Risa Afida Nuraini,Heny Kurnianingsih,,</v>
      </c>
      <c r="Q276" s="11" t="str">
        <f>IFERROR(__xludf.DUMMYFUNCTION("""COMPUTED_VALUE"""),"https://iocscience.org/ejournal/index.php/mantik/article/view/1195")</f>
        <v>https://iocscience.org/ejournal/index.php/mantik/article/view/1195</v>
      </c>
      <c r="R276" s="6"/>
    </row>
    <row r="277">
      <c r="A277" s="5">
        <f>IFERROR(__xludf.DUMMYFUNCTION("""COMPUTED_VALUE"""),276.0)</f>
        <v>276</v>
      </c>
      <c r="B277" s="6" t="str">
        <f>IFERROR(__xludf.DUMMYFUNCTION("""COMPUTED_VALUE"""),"Factors That Influence The Fintech Users In Choosing Dana Digital Wallet")</f>
        <v>Factors That Influence The Fintech Users In Choosing Dana Digital Wallet</v>
      </c>
      <c r="C277" s="7">
        <f>IFERROR(__xludf.DUMMYFUNCTION("""COMPUTED_VALUE"""),2021.0)</f>
        <v>2021</v>
      </c>
      <c r="D277" s="8" t="str">
        <f>IFERROR(__xludf.DUMMYFUNCTION("""COMPUTED_VALUE"""),"2021/2022")</f>
        <v>2021/2022</v>
      </c>
      <c r="E277" s="9">
        <f>IFERROR(__xludf.DUMMYFUNCTION("""COMPUTED_VALUE"""),44559.0)</f>
        <v>44559</v>
      </c>
      <c r="F277" s="5" t="str">
        <f>IFERROR(__xludf.DUMMYFUNCTION("""COMPUTED_VALUE"""),"Ganjil")</f>
        <v>Ganjil</v>
      </c>
      <c r="G277" s="5" t="str">
        <f>IFERROR(__xludf.DUMMYFUNCTION("""COMPUTED_VALUE"""),"Manajemen")</f>
        <v>Manajemen</v>
      </c>
      <c r="H277" s="10" t="str">
        <f>IFERROR(__xludf.DUMMYFUNCTION("""COMPUTED_VALUE"""),"Dosen")</f>
        <v>Dosen</v>
      </c>
      <c r="I277" s="6" t="str">
        <f>IFERROR(__xludf.DUMMYFUNCTION("""COMPUTED_VALUE"""),"Heny Kurnianingsih")</f>
        <v>Heny Kurnianingsih</v>
      </c>
      <c r="J277" s="6" t="str">
        <f>IFERROR(__xludf.DUMMYFUNCTION("""COMPUTED_VALUE"""),"Andreas Galih Saputro")</f>
        <v>Andreas Galih Saputro</v>
      </c>
      <c r="K277" s="6"/>
      <c r="L277" s="6"/>
      <c r="M277" s="6"/>
      <c r="N277" s="6"/>
      <c r="O277" s="6"/>
      <c r="P277" s="10" t="str">
        <f>IFERROR(__xludf.DUMMYFUNCTION("""COMPUTED_VALUE"""),"Heny Kurnianingsih,Andreas Galih Saputro,,")</f>
        <v>Heny Kurnianingsih,Andreas Galih Saputro,,</v>
      </c>
      <c r="Q277" s="11" t="str">
        <f>IFERROR(__xludf.DUMMYFUNCTION("""COMPUTED_VALUE"""),"https://drive.google.com/drive/u/0/search?q=Factors%20That%20Influence%20The%20Fintech%20Users%20In%20Choosing%20Dana%20Digital%20Wallet")</f>
        <v>https://drive.google.com/drive/u/0/search?q=Factors%20That%20Influence%20The%20Fintech%20Users%20In%20Choosing%20Dana%20Digital%20Wallet</v>
      </c>
      <c r="R277" s="6"/>
    </row>
    <row r="278">
      <c r="A278" s="5">
        <f>IFERROR(__xludf.DUMMYFUNCTION("""COMPUTED_VALUE"""),277.0)</f>
        <v>277</v>
      </c>
      <c r="B278" s="6" t="str">
        <f>IFERROR(__xludf.DUMMYFUNCTION("""COMPUTED_VALUE"""),"Pengaruh Keputusan Investasi, Keputusan Pendanaan, Dan Kebijakan Dividen, Terhadap Nilai Perusahaan")</f>
        <v>Pengaruh Keputusan Investasi, Keputusan Pendanaan, Dan Kebijakan Dividen, Terhadap Nilai Perusahaan</v>
      </c>
      <c r="C278" s="7">
        <f>IFERROR(__xludf.DUMMYFUNCTION("""COMPUTED_VALUE"""),2021.0)</f>
        <v>2021</v>
      </c>
      <c r="D278" s="8" t="str">
        <f>IFERROR(__xludf.DUMMYFUNCTION("""COMPUTED_VALUE"""),"2021/2022")</f>
        <v>2021/2022</v>
      </c>
      <c r="E278" s="9">
        <f>IFERROR(__xludf.DUMMYFUNCTION("""COMPUTED_VALUE"""),44559.0)</f>
        <v>44559</v>
      </c>
      <c r="F278" s="5" t="str">
        <f>IFERROR(__xludf.DUMMYFUNCTION("""COMPUTED_VALUE"""),"Ganjil")</f>
        <v>Ganjil</v>
      </c>
      <c r="G278" s="5" t="str">
        <f>IFERROR(__xludf.DUMMYFUNCTION("""COMPUTED_VALUE"""),"Manajemen")</f>
        <v>Manajemen</v>
      </c>
      <c r="H278" s="10" t="str">
        <f>IFERROR(__xludf.DUMMYFUNCTION("""COMPUTED_VALUE"""),"Mahasiswa")</f>
        <v>Mahasiswa</v>
      </c>
      <c r="I278" s="6" t="str">
        <f>IFERROR(__xludf.DUMMYFUNCTION("""COMPUTED_VALUE"""),"Umi Nur Handayani")</f>
        <v>Umi Nur Handayani</v>
      </c>
      <c r="J278" s="6" t="str">
        <f>IFERROR(__xludf.DUMMYFUNCTION("""COMPUTED_VALUE"""),"Heny Kurnianingsih")</f>
        <v>Heny Kurnianingsih</v>
      </c>
      <c r="K278" s="6"/>
      <c r="L278" s="6"/>
      <c r="M278" s="6"/>
      <c r="N278" s="6"/>
      <c r="O278" s="6"/>
      <c r="P278" s="10" t="str">
        <f>IFERROR(__xludf.DUMMYFUNCTION("""COMPUTED_VALUE"""),"Umi Nur Handayani,Heny Kurnianingsih,,")</f>
        <v>Umi Nur Handayani,Heny Kurnianingsih,,</v>
      </c>
      <c r="Q278" s="11" t="str">
        <f>IFERROR(__xludf.DUMMYFUNCTION("""COMPUTED_VALUE"""),"https://jurnal.umk.ac.id/index.php/bmaj/article/view/5999")</f>
        <v>https://jurnal.umk.ac.id/index.php/bmaj/article/view/5999</v>
      </c>
      <c r="R278" s="6"/>
    </row>
    <row r="279">
      <c r="A279" s="5">
        <f>IFERROR(__xludf.DUMMYFUNCTION("""COMPUTED_VALUE"""),278.0)</f>
        <v>278</v>
      </c>
      <c r="B279" s="6" t="str">
        <f>IFERROR(__xludf.DUMMYFUNCTION("""COMPUTED_VALUE"""),"Pengaruh Kualitas Produk, Persepsi Harga, Dan Citra Merek Terhadap Keputusan Pembelian Bir Bintang Di Soloraya")</f>
        <v>Pengaruh Kualitas Produk, Persepsi Harga, Dan Citra Merek Terhadap Keputusan Pembelian Bir Bintang Di Soloraya</v>
      </c>
      <c r="C279" s="7">
        <f>IFERROR(__xludf.DUMMYFUNCTION("""COMPUTED_VALUE"""),2021.0)</f>
        <v>2021</v>
      </c>
      <c r="D279" s="8" t="str">
        <f>IFERROR(__xludf.DUMMYFUNCTION("""COMPUTED_VALUE"""),"2021/2022")</f>
        <v>2021/2022</v>
      </c>
      <c r="E279" s="9">
        <f>IFERROR(__xludf.DUMMYFUNCTION("""COMPUTED_VALUE"""),44559.0)</f>
        <v>44559</v>
      </c>
      <c r="F279" s="5" t="str">
        <f>IFERROR(__xludf.DUMMYFUNCTION("""COMPUTED_VALUE"""),"Ganjil")</f>
        <v>Ganjil</v>
      </c>
      <c r="G279" s="5" t="str">
        <f>IFERROR(__xludf.DUMMYFUNCTION("""COMPUTED_VALUE"""),"Manajemen")</f>
        <v>Manajemen</v>
      </c>
      <c r="H279" s="10" t="str">
        <f>IFERROR(__xludf.DUMMYFUNCTION("""COMPUTED_VALUE"""),"Mahasiswa")</f>
        <v>Mahasiswa</v>
      </c>
      <c r="I279" s="6" t="str">
        <f>IFERROR(__xludf.DUMMYFUNCTION("""COMPUTED_VALUE"""),"Rahma Nugraha")</f>
        <v>Rahma Nugraha</v>
      </c>
      <c r="J279" s="6" t="str">
        <f>IFERROR(__xludf.DUMMYFUNCTION("""COMPUTED_VALUE"""),"Heny Kurnianingsih")</f>
        <v>Heny Kurnianingsih</v>
      </c>
      <c r="K279" s="6"/>
      <c r="L279" s="6"/>
      <c r="M279" s="6"/>
      <c r="N279" s="6"/>
      <c r="O279" s="6"/>
      <c r="P279" s="10" t="str">
        <f>IFERROR(__xludf.DUMMYFUNCTION("""COMPUTED_VALUE"""),"Rahma Nugraha,Heny Kurnianingsih,,")</f>
        <v>Rahma Nugraha,Heny Kurnianingsih,,</v>
      </c>
      <c r="Q279" s="11" t="str">
        <f>IFERROR(__xludf.DUMMYFUNCTION("""COMPUTED_VALUE"""),"http://jurnalfe.ustjogja.ac.id/index.php/manajemen/article/view/2385")</f>
        <v>http://jurnalfe.ustjogja.ac.id/index.php/manajemen/article/view/2385</v>
      </c>
      <c r="R279" s="6"/>
    </row>
    <row r="280">
      <c r="A280" s="5">
        <f>IFERROR(__xludf.DUMMYFUNCTION("""COMPUTED_VALUE"""),279.0)</f>
        <v>279</v>
      </c>
      <c r="B280" s="6" t="str">
        <f>IFERROR(__xludf.DUMMYFUNCTION("""COMPUTED_VALUE"""),"Menguji Desain Pemasaran Terhadap Keputusan Pembelian Provider Telkomsel (Studi Empiris Konsumen Di Kota Solo)")</f>
        <v>Menguji Desain Pemasaran Terhadap Keputusan Pembelian Provider Telkomsel (Studi Empiris Konsumen Di Kota Solo)</v>
      </c>
      <c r="C280" s="7">
        <f>IFERROR(__xludf.DUMMYFUNCTION("""COMPUTED_VALUE"""),2021.0)</f>
        <v>2021</v>
      </c>
      <c r="D280" s="8" t="str">
        <f>IFERROR(__xludf.DUMMYFUNCTION("""COMPUTED_VALUE"""),"2021/2022")</f>
        <v>2021/2022</v>
      </c>
      <c r="E280" s="9">
        <f>IFERROR(__xludf.DUMMYFUNCTION("""COMPUTED_VALUE"""),44559.0)</f>
        <v>44559</v>
      </c>
      <c r="F280" s="5" t="str">
        <f>IFERROR(__xludf.DUMMYFUNCTION("""COMPUTED_VALUE"""),"Ganjil")</f>
        <v>Ganjil</v>
      </c>
      <c r="G280" s="5" t="str">
        <f>IFERROR(__xludf.DUMMYFUNCTION("""COMPUTED_VALUE"""),"Manajemen")</f>
        <v>Manajemen</v>
      </c>
      <c r="H280" s="10" t="str">
        <f>IFERROR(__xludf.DUMMYFUNCTION("""COMPUTED_VALUE"""),"Mahasiswa")</f>
        <v>Mahasiswa</v>
      </c>
      <c r="I280" s="6" t="str">
        <f>IFERROR(__xludf.DUMMYFUNCTION("""COMPUTED_VALUE"""),"Rifka Islamiati")</f>
        <v>Rifka Islamiati</v>
      </c>
      <c r="J280" s="6" t="str">
        <f>IFERROR(__xludf.DUMMYFUNCTION("""COMPUTED_VALUE"""),"Muhammad Jalari")</f>
        <v>Muhammad Jalari</v>
      </c>
      <c r="K280" s="6"/>
      <c r="L280" s="6"/>
      <c r="M280" s="6"/>
      <c r="N280" s="6"/>
      <c r="O280" s="6"/>
      <c r="P280" s="10" t="str">
        <f>IFERROR(__xludf.DUMMYFUNCTION("""COMPUTED_VALUE"""),"Rifka Islamiati,Muhammad Jalari,,")</f>
        <v>Rifka Islamiati,Muhammad Jalari,,</v>
      </c>
      <c r="Q280" s="11" t="str">
        <f>IFERROR(__xludf.DUMMYFUNCTION("""COMPUTED_VALUE"""),"https://journals.unihaz.ac.id/index.php/crmj/en/article/view/1849")</f>
        <v>https://journals.unihaz.ac.id/index.php/crmj/en/article/view/1849</v>
      </c>
      <c r="R280" s="6"/>
    </row>
    <row r="281">
      <c r="A281" s="5">
        <f>IFERROR(__xludf.DUMMYFUNCTION("""COMPUTED_VALUE"""),280.0)</f>
        <v>280</v>
      </c>
      <c r="B281" s="6" t="str">
        <f>IFERROR(__xludf.DUMMYFUNCTION("""COMPUTED_VALUE"""),"Strategi Pemasaran Kopi Soda Di Yogyakarta (Studi Pustaka Di Mixology Coffee)")</f>
        <v>Strategi Pemasaran Kopi Soda Di Yogyakarta (Studi Pustaka Di Mixology Coffee)</v>
      </c>
      <c r="C281" s="7">
        <f>IFERROR(__xludf.DUMMYFUNCTION("""COMPUTED_VALUE"""),2021.0)</f>
        <v>2021</v>
      </c>
      <c r="D281" s="8" t="str">
        <f>IFERROR(__xludf.DUMMYFUNCTION("""COMPUTED_VALUE"""),"2021/2022")</f>
        <v>2021/2022</v>
      </c>
      <c r="E281" s="9">
        <f>IFERROR(__xludf.DUMMYFUNCTION("""COMPUTED_VALUE"""),44559.0)</f>
        <v>44559</v>
      </c>
      <c r="F281" s="5" t="str">
        <f>IFERROR(__xludf.DUMMYFUNCTION("""COMPUTED_VALUE"""),"Ganjil")</f>
        <v>Ganjil</v>
      </c>
      <c r="G281" s="5" t="str">
        <f>IFERROR(__xludf.DUMMYFUNCTION("""COMPUTED_VALUE"""),"Manajemen")</f>
        <v>Manajemen</v>
      </c>
      <c r="H281" s="10" t="str">
        <f>IFERROR(__xludf.DUMMYFUNCTION("""COMPUTED_VALUE"""),"Dosen")</f>
        <v>Dosen</v>
      </c>
      <c r="I281" s="6" t="str">
        <f>IFERROR(__xludf.DUMMYFUNCTION("""COMPUTED_VALUE"""),"Aditya Liliyan")</f>
        <v>Aditya Liliyan</v>
      </c>
      <c r="J281" s="6"/>
      <c r="K281" s="6"/>
      <c r="L281" s="6"/>
      <c r="M281" s="6"/>
      <c r="N281" s="6"/>
      <c r="O281" s="6"/>
      <c r="P281" s="10" t="str">
        <f>IFERROR(__xludf.DUMMYFUNCTION("""COMPUTED_VALUE"""),"Aditya Liliyan,,,")</f>
        <v>Aditya Liliyan,,,</v>
      </c>
      <c r="Q281" s="11" t="str">
        <f>IFERROR(__xludf.DUMMYFUNCTION("""COMPUTED_VALUE"""),"https://docs.google.com/document/d/1IK7-067ZPUDHykC8r9sL3vjUzh32cnSi/edit?usp=drive_link&amp;ouid=113741177560435037779&amp;rtpof=true&amp;sd=true")</f>
        <v>https://docs.google.com/document/d/1IK7-067ZPUDHykC8r9sL3vjUzh32cnSi/edit?usp=drive_link&amp;ouid=113741177560435037779&amp;rtpof=true&amp;sd=true</v>
      </c>
      <c r="R281" s="6"/>
    </row>
    <row r="282">
      <c r="A282" s="5">
        <f>IFERROR(__xludf.DUMMYFUNCTION("""COMPUTED_VALUE"""),281.0)</f>
        <v>281</v>
      </c>
      <c r="B282" s="6" t="str">
        <f>IFERROR(__xludf.DUMMYFUNCTION("""COMPUTED_VALUE"""),"The Influence Of Profitability, Leverage And Good Corporate Governance On Company Value")</f>
        <v>The Influence Of Profitability, Leverage And Good Corporate Governance On Company Value</v>
      </c>
      <c r="C282" s="7">
        <f>IFERROR(__xludf.DUMMYFUNCTION("""COMPUTED_VALUE"""),2021.0)</f>
        <v>2021</v>
      </c>
      <c r="D282" s="8" t="str">
        <f>IFERROR(__xludf.DUMMYFUNCTION("""COMPUTED_VALUE"""),"2021/2022")</f>
        <v>2021/2022</v>
      </c>
      <c r="E282" s="9">
        <f>IFERROR(__xludf.DUMMYFUNCTION("""COMPUTED_VALUE"""),44559.0)</f>
        <v>44559</v>
      </c>
      <c r="F282" s="5" t="str">
        <f>IFERROR(__xludf.DUMMYFUNCTION("""COMPUTED_VALUE"""),"Ganjil")</f>
        <v>Ganjil</v>
      </c>
      <c r="G282" s="5" t="str">
        <f>IFERROR(__xludf.DUMMYFUNCTION("""COMPUTED_VALUE"""),"Akuntansi")</f>
        <v>Akuntansi</v>
      </c>
      <c r="H282" s="10" t="str">
        <f>IFERROR(__xludf.DUMMYFUNCTION("""COMPUTED_VALUE"""),"Mahasiswa")</f>
        <v>Mahasiswa</v>
      </c>
      <c r="I282" s="6" t="str">
        <f>IFERROR(__xludf.DUMMYFUNCTION("""COMPUTED_VALUE"""),"Ermia Puspaninggiri")</f>
        <v>Ermia Puspaninggiri</v>
      </c>
      <c r="J282" s="6" t="str">
        <f>IFERROR(__xludf.DUMMYFUNCTION("""COMPUTED_VALUE"""),"Eko Triyanto")</f>
        <v>Eko Triyanto</v>
      </c>
      <c r="K282" s="6"/>
      <c r="L282" s="6"/>
      <c r="M282" s="6"/>
      <c r="N282" s="6"/>
      <c r="O282" s="6"/>
      <c r="P282" s="10" t="str">
        <f>IFERROR(__xludf.DUMMYFUNCTION("""COMPUTED_VALUE"""),"Ermia Puspaninggiri,Eko Triyanto,,")</f>
        <v>Ermia Puspaninggiri,Eko Triyanto,,</v>
      </c>
      <c r="Q282" s="11" t="str">
        <f>IFERROR(__xludf.DUMMYFUNCTION("""COMPUTED_VALUE"""),"https://jurnal.untidar.ac.id/index.php/RAK/article/view/4348")</f>
        <v>https://jurnal.untidar.ac.id/index.php/RAK/article/view/4348</v>
      </c>
      <c r="R282" s="6"/>
    </row>
    <row r="283">
      <c r="A283" s="5">
        <f>IFERROR(__xludf.DUMMYFUNCTION("""COMPUTED_VALUE"""),282.0)</f>
        <v>282</v>
      </c>
      <c r="B283" s="6" t="str">
        <f>IFERROR(__xludf.DUMMYFUNCTION("""COMPUTED_VALUE"""),"Effect Of Regional Original Income, Balanced Funds, Capital Expenditure And Human Development Index On Economic Growth")</f>
        <v>Effect Of Regional Original Income, Balanced Funds, Capital Expenditure And Human Development Index On Economic Growth</v>
      </c>
      <c r="C283" s="7">
        <f>IFERROR(__xludf.DUMMYFUNCTION("""COMPUTED_VALUE"""),2021.0)</f>
        <v>2021</v>
      </c>
      <c r="D283" s="8" t="str">
        <f>IFERROR(__xludf.DUMMYFUNCTION("""COMPUTED_VALUE"""),"2021/2022")</f>
        <v>2021/2022</v>
      </c>
      <c r="E283" s="9">
        <f>IFERROR(__xludf.DUMMYFUNCTION("""COMPUTED_VALUE"""),44559.0)</f>
        <v>44559</v>
      </c>
      <c r="F283" s="5" t="str">
        <f>IFERROR(__xludf.DUMMYFUNCTION("""COMPUTED_VALUE"""),"Ganjil")</f>
        <v>Ganjil</v>
      </c>
      <c r="G283" s="5" t="str">
        <f>IFERROR(__xludf.DUMMYFUNCTION("""COMPUTED_VALUE"""),"Akuntansi")</f>
        <v>Akuntansi</v>
      </c>
      <c r="H283" s="10" t="str">
        <f>IFERROR(__xludf.DUMMYFUNCTION("""COMPUTED_VALUE"""),"Mahasiswa")</f>
        <v>Mahasiswa</v>
      </c>
      <c r="I283" s="6" t="str">
        <f>IFERROR(__xludf.DUMMYFUNCTION("""COMPUTED_VALUE"""),"Lia Febriana Karwahningrum")</f>
        <v>Lia Febriana Karwahningrum</v>
      </c>
      <c r="J283" s="6" t="str">
        <f>IFERROR(__xludf.DUMMYFUNCTION("""COMPUTED_VALUE"""),"Eko Triyanto")</f>
        <v>Eko Triyanto</v>
      </c>
      <c r="K283" s="6"/>
      <c r="L283" s="6"/>
      <c r="M283" s="6"/>
      <c r="N283" s="6"/>
      <c r="O283" s="6"/>
      <c r="P283" s="10" t="str">
        <f>IFERROR(__xludf.DUMMYFUNCTION("""COMPUTED_VALUE"""),"Lia Febriana Karwahningrum,Eko Triyanto,,")</f>
        <v>Lia Febriana Karwahningrum,Eko Triyanto,,</v>
      </c>
      <c r="Q283" s="11" t="str">
        <f>IFERROR(__xludf.DUMMYFUNCTION("""COMPUTED_VALUE"""),"https://e-journal.unair.ac.id/BAKI/article/view/25700/15508")</f>
        <v>https://e-journal.unair.ac.id/BAKI/article/view/25700/15508</v>
      </c>
      <c r="R283" s="6"/>
    </row>
    <row r="284">
      <c r="A284" s="5">
        <f>IFERROR(__xludf.DUMMYFUNCTION("""COMPUTED_VALUE"""),283.0)</f>
        <v>283</v>
      </c>
      <c r="B284" s="6" t="str">
        <f>IFERROR(__xludf.DUMMYFUNCTION("""COMPUTED_VALUE"""),"Pengaruh Word Of Mouth (WOM), Kualitas Pelayanan, Keamanan dan Kepercayaan Terhadap Keputusan Konsumen Menggunakan Jasa Transformatasi Online Grabbike Di Kota Surakarta")</f>
        <v>Pengaruh Word Of Mouth (WOM), Kualitas Pelayanan, Keamanan dan Kepercayaan Terhadap Keputusan Konsumen Menggunakan Jasa Transformatasi Online Grabbike Di Kota Surakarta</v>
      </c>
      <c r="C284" s="7">
        <f>IFERROR(__xludf.DUMMYFUNCTION("""COMPUTED_VALUE"""),2021.0)</f>
        <v>2021</v>
      </c>
      <c r="D284" s="8" t="str">
        <f>IFERROR(__xludf.DUMMYFUNCTION("""COMPUTED_VALUE"""),"2021/2022")</f>
        <v>2021/2022</v>
      </c>
      <c r="E284" s="9">
        <f>IFERROR(__xludf.DUMMYFUNCTION("""COMPUTED_VALUE"""),44559.0)</f>
        <v>44559</v>
      </c>
      <c r="F284" s="5" t="str">
        <f>IFERROR(__xludf.DUMMYFUNCTION("""COMPUTED_VALUE"""),"Ganjil")</f>
        <v>Ganjil</v>
      </c>
      <c r="G284" s="5" t="str">
        <f>IFERROR(__xludf.DUMMYFUNCTION("""COMPUTED_VALUE"""),"Manajemen")</f>
        <v>Manajemen</v>
      </c>
      <c r="H284" s="10" t="str">
        <f>IFERROR(__xludf.DUMMYFUNCTION("""COMPUTED_VALUE"""),"Mahasiswa")</f>
        <v>Mahasiswa</v>
      </c>
      <c r="I284" s="6" t="str">
        <f>IFERROR(__xludf.DUMMYFUNCTION("""COMPUTED_VALUE"""),"Yasmin Rajaa Nabilah")</f>
        <v>Yasmin Rajaa Nabilah</v>
      </c>
      <c r="J284" s="6" t="str">
        <f>IFERROR(__xludf.DUMMYFUNCTION("""COMPUTED_VALUE"""),"Andri Nurtantiono")</f>
        <v>Andri Nurtantiono</v>
      </c>
      <c r="K284" s="6"/>
      <c r="L284" s="6"/>
      <c r="M284" s="6"/>
      <c r="N284" s="6"/>
      <c r="O284" s="6"/>
      <c r="P284" s="10" t="str">
        <f>IFERROR(__xludf.DUMMYFUNCTION("""COMPUTED_VALUE"""),"Yasmin Rajaa Nabilah,Andri Nurtantiono,,")</f>
        <v>Yasmin Rajaa Nabilah,Andri Nurtantiono,,</v>
      </c>
      <c r="Q284" s="11" t="str">
        <f>IFERROR(__xludf.DUMMYFUNCTION("""COMPUTED_VALUE"""),"https://jurnal.stie-aas.ac.id/index.php/jie/article/view/1381")</f>
        <v>https://jurnal.stie-aas.ac.id/index.php/jie/article/view/1381</v>
      </c>
      <c r="R284" s="6"/>
    </row>
    <row r="285">
      <c r="A285" s="5">
        <f>IFERROR(__xludf.DUMMYFUNCTION("""COMPUTED_VALUE"""),284.0)</f>
        <v>284</v>
      </c>
      <c r="B285" s="6" t="str">
        <f>IFERROR(__xludf.DUMMYFUNCTION("""COMPUTED_VALUE"""),"Pengaruh Merek, Kualitas Produk, Media Sosial Dan Harga Terhadap Minat Beli Konsumen Pada Produk Brand Wardah")</f>
        <v>Pengaruh Merek, Kualitas Produk, Media Sosial Dan Harga Terhadap Minat Beli Konsumen Pada Produk Brand Wardah</v>
      </c>
      <c r="C285" s="7">
        <f>IFERROR(__xludf.DUMMYFUNCTION("""COMPUTED_VALUE"""),2021.0)</f>
        <v>2021</v>
      </c>
      <c r="D285" s="8" t="str">
        <f>IFERROR(__xludf.DUMMYFUNCTION("""COMPUTED_VALUE"""),"2021/2022")</f>
        <v>2021/2022</v>
      </c>
      <c r="E285" s="9">
        <f>IFERROR(__xludf.DUMMYFUNCTION("""COMPUTED_VALUE"""),44559.0)</f>
        <v>44559</v>
      </c>
      <c r="F285" s="5" t="str">
        <f>IFERROR(__xludf.DUMMYFUNCTION("""COMPUTED_VALUE"""),"Ganjil")</f>
        <v>Ganjil</v>
      </c>
      <c r="G285" s="5" t="str">
        <f>IFERROR(__xludf.DUMMYFUNCTION("""COMPUTED_VALUE"""),"")</f>
        <v/>
      </c>
      <c r="H285" s="10" t="str">
        <f>IFERROR(__xludf.DUMMYFUNCTION("""COMPUTED_VALUE"""),"Mahasiswa")</f>
        <v>Mahasiswa</v>
      </c>
      <c r="I285" s="6" t="str">
        <f>IFERROR(__xludf.DUMMYFUNCTION("""COMPUTED_VALUE"""),"Yemima Marvell Geraldine")</f>
        <v>Yemima Marvell Geraldine</v>
      </c>
      <c r="J285" s="6"/>
      <c r="K285" s="6"/>
      <c r="L285" s="6"/>
      <c r="M285" s="6"/>
      <c r="N285" s="6"/>
      <c r="O285" s="6"/>
      <c r="P285" s="10" t="str">
        <f>IFERROR(__xludf.DUMMYFUNCTION("""COMPUTED_VALUE"""),"Yemima Marvell Geraldine,,,")</f>
        <v>Yemima Marvell Geraldine,,,</v>
      </c>
      <c r="Q285" s="11" t="str">
        <f>IFERROR(__xludf.DUMMYFUNCTION("""COMPUTED_VALUE"""),"https://ejournals.umma.ac.id/index.php/point/article/view/880")</f>
        <v>https://ejournals.umma.ac.id/index.php/point/article/view/880</v>
      </c>
      <c r="R285" s="6"/>
    </row>
    <row r="286">
      <c r="A286" s="5">
        <f>IFERROR(__xludf.DUMMYFUNCTION("""COMPUTED_VALUE"""),285.0)</f>
        <v>285</v>
      </c>
      <c r="B286" s="6" t="str">
        <f>IFERROR(__xludf.DUMMYFUNCTION("""COMPUTED_VALUE"""),"Pelatihan Strategi Pemasaran dan Pengelolaan Keuangan Pemilik UMKM Rotan Desa Trangsan Kabupaten Sukoharjo")</f>
        <v>Pelatihan Strategi Pemasaran dan Pengelolaan Keuangan Pemilik UMKM Rotan Desa Trangsan Kabupaten Sukoharjo</v>
      </c>
      <c r="C286" s="7">
        <f>IFERROR(__xludf.DUMMYFUNCTION("""COMPUTED_VALUE"""),2021.0)</f>
        <v>2021</v>
      </c>
      <c r="D286" s="8" t="str">
        <f>IFERROR(__xludf.DUMMYFUNCTION("""COMPUTED_VALUE"""),"2021/2022")</f>
        <v>2021/2022</v>
      </c>
      <c r="E286" s="9">
        <f>IFERROR(__xludf.DUMMYFUNCTION("""COMPUTED_VALUE"""),44559.0)</f>
        <v>44559</v>
      </c>
      <c r="F286" s="5" t="str">
        <f>IFERROR(__xludf.DUMMYFUNCTION("""COMPUTED_VALUE"""),"Ganjil")</f>
        <v>Ganjil</v>
      </c>
      <c r="G286" s="5" t="str">
        <f>IFERROR(__xludf.DUMMYFUNCTION("""COMPUTED_VALUE"""),"Manajemen")</f>
        <v>Manajemen</v>
      </c>
      <c r="H286" s="10" t="str">
        <f>IFERROR(__xludf.DUMMYFUNCTION("""COMPUTED_VALUE"""),"Dosen")</f>
        <v>Dosen</v>
      </c>
      <c r="I286" s="6" t="str">
        <f>IFERROR(__xludf.DUMMYFUNCTION("""COMPUTED_VALUE"""),"Elia Ardyan")</f>
        <v>Elia Ardyan</v>
      </c>
      <c r="J286" s="6" t="str">
        <f>IFERROR(__xludf.DUMMYFUNCTION("""COMPUTED_VALUE"""),"Ari Susanti")</f>
        <v>Ari Susanti</v>
      </c>
      <c r="K286" s="6"/>
      <c r="L286" s="6"/>
      <c r="M286" s="6"/>
      <c r="N286" s="6"/>
      <c r="O286" s="6"/>
      <c r="P286" s="10" t="str">
        <f>IFERROR(__xludf.DUMMYFUNCTION("""COMPUTED_VALUE"""),"Elia Ardyan,Ari Susanti,,")</f>
        <v>Elia Ardyan,Ari Susanti,,</v>
      </c>
      <c r="Q286" s="11" t="str">
        <f>IFERROR(__xludf.DUMMYFUNCTION("""COMPUTED_VALUE"""),"https://abdidas.org/index.php/abdidas/article/view/290")</f>
        <v>https://abdidas.org/index.php/abdidas/article/view/290</v>
      </c>
      <c r="R286" s="6"/>
    </row>
    <row r="287">
      <c r="A287" s="5">
        <f>IFERROR(__xludf.DUMMYFUNCTION("""COMPUTED_VALUE"""),286.0)</f>
        <v>286</v>
      </c>
      <c r="B287" s="6" t="str">
        <f>IFERROR(__xludf.DUMMYFUNCTION("""COMPUTED_VALUE"""),"Strategi Perencanaan Keuangan untuk Penjualan dan Pajak UMKM di Masa Pandemi")</f>
        <v>Strategi Perencanaan Keuangan untuk Penjualan dan Pajak UMKM di Masa Pandemi</v>
      </c>
      <c r="C287" s="7">
        <f>IFERROR(__xludf.DUMMYFUNCTION("""COMPUTED_VALUE"""),2021.0)</f>
        <v>2021</v>
      </c>
      <c r="D287" s="8" t="str">
        <f>IFERROR(__xludf.DUMMYFUNCTION("""COMPUTED_VALUE"""),"2021/2022")</f>
        <v>2021/2022</v>
      </c>
      <c r="E287" s="9">
        <f>IFERROR(__xludf.DUMMYFUNCTION("""COMPUTED_VALUE"""),44559.0)</f>
        <v>44559</v>
      </c>
      <c r="F287" s="5" t="str">
        <f>IFERROR(__xludf.DUMMYFUNCTION("""COMPUTED_VALUE"""),"Ganjil")</f>
        <v>Ganjil</v>
      </c>
      <c r="G287" s="5" t="str">
        <f>IFERROR(__xludf.DUMMYFUNCTION("""COMPUTED_VALUE"""),"Manajemen")</f>
        <v>Manajemen</v>
      </c>
      <c r="H287" s="10" t="str">
        <f>IFERROR(__xludf.DUMMYFUNCTION("""COMPUTED_VALUE"""),"Dosen")</f>
        <v>Dosen</v>
      </c>
      <c r="I287" s="6" t="str">
        <f>IFERROR(__xludf.DUMMYFUNCTION("""COMPUTED_VALUE"""),"Ari Susanti")</f>
        <v>Ari Susanti</v>
      </c>
      <c r="J287" s="6" t="str">
        <f>IFERROR(__xludf.DUMMYFUNCTION("""COMPUTED_VALUE"""),"Yopy Ratna Dewanti")</f>
        <v>Yopy Ratna Dewanti</v>
      </c>
      <c r="K287" s="6" t="str">
        <f>IFERROR(__xludf.DUMMYFUNCTION("""COMPUTED_VALUE"""),"Ria Estiana")</f>
        <v>Ria Estiana</v>
      </c>
      <c r="L287" s="6"/>
      <c r="M287" s="6"/>
      <c r="N287" s="6"/>
      <c r="O287" s="6"/>
      <c r="P287" s="10" t="str">
        <f>IFERROR(__xludf.DUMMYFUNCTION("""COMPUTED_VALUE"""),"Ari Susanti,Yopy Ratna Dewanti,Ria Estiana,")</f>
        <v>Ari Susanti,Yopy Ratna Dewanti,Ria Estiana,</v>
      </c>
      <c r="Q287" s="11" t="str">
        <f>IFERROR(__xludf.DUMMYFUNCTION("""COMPUTED_VALUE"""),"https://ejournal.unma.ac.id/index.php/bernas/article/view/731")</f>
        <v>https://ejournal.unma.ac.id/index.php/bernas/article/view/731</v>
      </c>
      <c r="R287" s="6"/>
    </row>
    <row r="288">
      <c r="A288" s="5">
        <f>IFERROR(__xludf.DUMMYFUNCTION("""COMPUTED_VALUE"""),287.0)</f>
        <v>287</v>
      </c>
      <c r="B288" s="6" t="str">
        <f>IFERROR(__xludf.DUMMYFUNCTION("""COMPUTED_VALUE"""),"Pemberdayaan Kewirausahaan Santri Pondok Pesantren Ad-Dhuha di Masa Pandemi")</f>
        <v>Pemberdayaan Kewirausahaan Santri Pondok Pesantren Ad-Dhuha di Masa Pandemi</v>
      </c>
      <c r="C288" s="7">
        <f>IFERROR(__xludf.DUMMYFUNCTION("""COMPUTED_VALUE"""),2021.0)</f>
        <v>2021</v>
      </c>
      <c r="D288" s="8" t="str">
        <f>IFERROR(__xludf.DUMMYFUNCTION("""COMPUTED_VALUE"""),"2021/2022")</f>
        <v>2021/2022</v>
      </c>
      <c r="E288" s="9">
        <f>IFERROR(__xludf.DUMMYFUNCTION("""COMPUTED_VALUE"""),44559.0)</f>
        <v>44559</v>
      </c>
      <c r="F288" s="5" t="str">
        <f>IFERROR(__xludf.DUMMYFUNCTION("""COMPUTED_VALUE"""),"Ganjil")</f>
        <v>Ganjil</v>
      </c>
      <c r="G288" s="5" t="str">
        <f>IFERROR(__xludf.DUMMYFUNCTION("""COMPUTED_VALUE"""),"Manajemen")</f>
        <v>Manajemen</v>
      </c>
      <c r="H288" s="10" t="str">
        <f>IFERROR(__xludf.DUMMYFUNCTION("""COMPUTED_VALUE"""),"Dosen")</f>
        <v>Dosen</v>
      </c>
      <c r="I288" s="6" t="str">
        <f>IFERROR(__xludf.DUMMYFUNCTION("""COMPUTED_VALUE"""),"Ari Susanti")</f>
        <v>Ari Susanti</v>
      </c>
      <c r="J288" s="6" t="str">
        <f>IFERROR(__xludf.DUMMYFUNCTION("""COMPUTED_VALUE"""),"Ari Susanti")</f>
        <v>Ari Susanti</v>
      </c>
      <c r="K288" s="6" t="str">
        <f>IFERROR(__xludf.DUMMYFUNCTION("""COMPUTED_VALUE"""),"Tri Ratna Pamikatsih")</f>
        <v>Tri Ratna Pamikatsih</v>
      </c>
      <c r="L288" s="6"/>
      <c r="M288" s="6"/>
      <c r="N288" s="6"/>
      <c r="O288" s="6"/>
      <c r="P288" s="10" t="str">
        <f>IFERROR(__xludf.DUMMYFUNCTION("""COMPUTED_VALUE"""),"Ari Susanti,Ari Susanti,Tri Ratna Pamikatsih,")</f>
        <v>Ari Susanti,Ari Susanti,Tri Ratna Pamikatsih,</v>
      </c>
      <c r="Q288" s="11" t="str">
        <f>IFERROR(__xludf.DUMMYFUNCTION("""COMPUTED_VALUE"""),"https://abdidas.org/index.php/abdidas/article/view/367")</f>
        <v>https://abdidas.org/index.php/abdidas/article/view/367</v>
      </c>
      <c r="R288" s="6"/>
    </row>
    <row r="289">
      <c r="A289" s="5">
        <f>IFERROR(__xludf.DUMMYFUNCTION("""COMPUTED_VALUE"""),288.0)</f>
        <v>288</v>
      </c>
      <c r="B289" s="6" t="str">
        <f>IFERROR(__xludf.DUMMYFUNCTION("""COMPUTED_VALUE"""),"Strategi UKM Pada Masa Pandemi Covid-19")</f>
        <v>Strategi UKM Pada Masa Pandemi Covid-19</v>
      </c>
      <c r="C289" s="7">
        <f>IFERROR(__xludf.DUMMYFUNCTION("""COMPUTED_VALUE"""),2021.0)</f>
        <v>2021</v>
      </c>
      <c r="D289" s="8" t="str">
        <f>IFERROR(__xludf.DUMMYFUNCTION("""COMPUTED_VALUE"""),"2021/2022")</f>
        <v>2021/2022</v>
      </c>
      <c r="E289" s="9">
        <f>IFERROR(__xludf.DUMMYFUNCTION("""COMPUTED_VALUE"""),44559.0)</f>
        <v>44559</v>
      </c>
      <c r="F289" s="5" t="str">
        <f>IFERROR(__xludf.DUMMYFUNCTION("""COMPUTED_VALUE"""),"Ganjil")</f>
        <v>Ganjil</v>
      </c>
      <c r="G289" s="5" t="str">
        <f>IFERROR(__xludf.DUMMYFUNCTION("""COMPUTED_VALUE"""),"Manajemen")</f>
        <v>Manajemen</v>
      </c>
      <c r="H289" s="10" t="str">
        <f>IFERROR(__xludf.DUMMYFUNCTION("""COMPUTED_VALUE"""),"Dosen")</f>
        <v>Dosen</v>
      </c>
      <c r="I289" s="6" t="str">
        <f>IFERROR(__xludf.DUMMYFUNCTION("""COMPUTED_VALUE"""),"Ari Susanti")</f>
        <v>Ari Susanti</v>
      </c>
      <c r="J289" s="6" t="str">
        <f>IFERROR(__xludf.DUMMYFUNCTION("""COMPUTED_VALUE"""),"Budi Istiyanto")</f>
        <v>Budi Istiyanto</v>
      </c>
      <c r="K289" s="6" t="str">
        <f>IFERROR(__xludf.DUMMYFUNCTION("""COMPUTED_VALUE"""),"Muhammad Jalari")</f>
        <v>Muhammad Jalari</v>
      </c>
      <c r="L289" s="6"/>
      <c r="M289" s="6"/>
      <c r="N289" s="6"/>
      <c r="O289" s="6"/>
      <c r="P289" s="10" t="str">
        <f>IFERROR(__xludf.DUMMYFUNCTION("""COMPUTED_VALUE"""),"Ari Susanti,Budi Istiyanto,Muhammad Jalari,")</f>
        <v>Ari Susanti,Budi Istiyanto,Muhammad Jalari,</v>
      </c>
      <c r="Q289" s="11" t="str">
        <f>IFERROR(__xludf.DUMMYFUNCTION("""COMPUTED_VALUE"""),"https://journal.neolectura.com/index.php/Kangmas/article/view/50")</f>
        <v>https://journal.neolectura.com/index.php/Kangmas/article/view/50</v>
      </c>
      <c r="R289" s="6"/>
    </row>
    <row r="290">
      <c r="A290" s="5">
        <f>IFERROR(__xludf.DUMMYFUNCTION("""COMPUTED_VALUE"""),289.0)</f>
        <v>289</v>
      </c>
      <c r="B290" s="6" t="str">
        <f>IFERROR(__xludf.DUMMYFUNCTION("""COMPUTED_VALUE"""),"Kemandirian Ekonomi Santri Pondok Pesantren Menghadapi Masa Pandemi: Indonesia")</f>
        <v>Kemandirian Ekonomi Santri Pondok Pesantren Menghadapi Masa Pandemi: Indonesia</v>
      </c>
      <c r="C290" s="7">
        <f>IFERROR(__xludf.DUMMYFUNCTION("""COMPUTED_VALUE"""),2021.0)</f>
        <v>2021</v>
      </c>
      <c r="D290" s="8" t="str">
        <f>IFERROR(__xludf.DUMMYFUNCTION("""COMPUTED_VALUE"""),"2021/2022")</f>
        <v>2021/2022</v>
      </c>
      <c r="E290" s="9">
        <f>IFERROR(__xludf.DUMMYFUNCTION("""COMPUTED_VALUE"""),44559.0)</f>
        <v>44559</v>
      </c>
      <c r="F290" s="5" t="str">
        <f>IFERROR(__xludf.DUMMYFUNCTION("""COMPUTED_VALUE"""),"Ganjil")</f>
        <v>Ganjil</v>
      </c>
      <c r="G290" s="5" t="str">
        <f>IFERROR(__xludf.DUMMYFUNCTION("""COMPUTED_VALUE"""),"Akuntansi")</f>
        <v>Akuntansi</v>
      </c>
      <c r="H290" s="10" t="str">
        <f>IFERROR(__xludf.DUMMYFUNCTION("""COMPUTED_VALUE"""),"Dosen")</f>
        <v>Dosen</v>
      </c>
      <c r="I290" s="6" t="str">
        <f>IFERROR(__xludf.DUMMYFUNCTION("""COMPUTED_VALUE"""),"Nur Kholis")</f>
        <v>Nur Kholis</v>
      </c>
      <c r="J290" s="6" t="str">
        <f>IFERROR(__xludf.DUMMYFUNCTION("""COMPUTED_VALUE"""),"Ida Ayu Kade")</f>
        <v>Ida Ayu Kade</v>
      </c>
      <c r="K290" s="6" t="str">
        <f>IFERROR(__xludf.DUMMYFUNCTION("""COMPUTED_VALUE"""),"Hestin Muthmainah")</f>
        <v>Hestin Muthmainah</v>
      </c>
      <c r="L290" s="6"/>
      <c r="M290" s="6"/>
      <c r="N290" s="6"/>
      <c r="O290" s="6"/>
      <c r="P290" s="10" t="str">
        <f>IFERROR(__xludf.DUMMYFUNCTION("""COMPUTED_VALUE"""),"Nur Kholis,Ida Ayu Kade,Hestin Muthmainah,")</f>
        <v>Nur Kholis,Ida Ayu Kade,Hestin Muthmainah,</v>
      </c>
      <c r="Q290" s="11" t="str">
        <f>IFERROR(__xludf.DUMMYFUNCTION("""COMPUTED_VALUE"""),"https://abdidas.org/index.php/abdidas/article/view/366")</f>
        <v>https://abdidas.org/index.php/abdidas/article/view/366</v>
      </c>
      <c r="R290" s="6"/>
    </row>
    <row r="291">
      <c r="A291" s="5">
        <f>IFERROR(__xludf.DUMMYFUNCTION("""COMPUTED_VALUE"""),290.0)</f>
        <v>290</v>
      </c>
      <c r="B291" s="6" t="str">
        <f>IFERROR(__xludf.DUMMYFUNCTION("""COMPUTED_VALUE"""),"Pengembangan Wawasan Digital UMKM")</f>
        <v>Pengembangan Wawasan Digital UMKM</v>
      </c>
      <c r="C291" s="7">
        <f>IFERROR(__xludf.DUMMYFUNCTION("""COMPUTED_VALUE"""),2021.0)</f>
        <v>2021</v>
      </c>
      <c r="D291" s="8" t="str">
        <f>IFERROR(__xludf.DUMMYFUNCTION("""COMPUTED_VALUE"""),"2021/2022")</f>
        <v>2021/2022</v>
      </c>
      <c r="E291" s="9">
        <f>IFERROR(__xludf.DUMMYFUNCTION("""COMPUTED_VALUE"""),44559.0)</f>
        <v>44559</v>
      </c>
      <c r="F291" s="5" t="str">
        <f>IFERROR(__xludf.DUMMYFUNCTION("""COMPUTED_VALUE"""),"Ganjil")</f>
        <v>Ganjil</v>
      </c>
      <c r="G291" s="5" t="str">
        <f>IFERROR(__xludf.DUMMYFUNCTION("""COMPUTED_VALUE"""),"Akuntansi")</f>
        <v>Akuntansi</v>
      </c>
      <c r="H291" s="10" t="str">
        <f>IFERROR(__xludf.DUMMYFUNCTION("""COMPUTED_VALUE"""),"Dosen")</f>
        <v>Dosen</v>
      </c>
      <c r="I291" s="6" t="str">
        <f>IFERROR(__xludf.DUMMYFUNCTION("""COMPUTED_VALUE"""),"Heri Susanto")</f>
        <v>Heri Susanto</v>
      </c>
      <c r="J291" s="6" t="str">
        <f>IFERROR(__xludf.DUMMYFUNCTION("""COMPUTED_VALUE"""),"Rosita")</f>
        <v>Rosita</v>
      </c>
      <c r="K291" s="6" t="str">
        <f>IFERROR(__xludf.DUMMYFUNCTION("""COMPUTED_VALUE"""),"Hestin Mutmainah")</f>
        <v>Hestin Mutmainah</v>
      </c>
      <c r="L291" s="6"/>
      <c r="M291" s="6"/>
      <c r="N291" s="6"/>
      <c r="O291" s="6"/>
      <c r="P291" s="10" t="str">
        <f>IFERROR(__xludf.DUMMYFUNCTION("""COMPUTED_VALUE"""),"Heri Susanto,Rosita,Hestin Mutmainah,")</f>
        <v>Heri Susanto,Rosita,Hestin Mutmainah,</v>
      </c>
      <c r="Q291" s="11" t="str">
        <f>IFERROR(__xludf.DUMMYFUNCTION("""COMPUTED_VALUE"""),"http://jurnal.stietotalwin.ac.id/index.php/pakem/article/view/339")</f>
        <v>http://jurnal.stietotalwin.ac.id/index.php/pakem/article/view/339</v>
      </c>
      <c r="R291" s="6"/>
    </row>
    <row r="292">
      <c r="A292" s="5">
        <f>IFERROR(__xludf.DUMMYFUNCTION("""COMPUTED_VALUE"""),291.0)</f>
        <v>291</v>
      </c>
      <c r="B292" s="6" t="str">
        <f>IFERROR(__xludf.DUMMYFUNCTION("""COMPUTED_VALUE"""),"Menggali Potensi Desa Wisata Di Kateguhan Sawit Boyolali Jawa Tengah")</f>
        <v>Menggali Potensi Desa Wisata Di Kateguhan Sawit Boyolali Jawa Tengah</v>
      </c>
      <c r="C292" s="7">
        <f>IFERROR(__xludf.DUMMYFUNCTION("""COMPUTED_VALUE"""),2021.0)</f>
        <v>2021</v>
      </c>
      <c r="D292" s="8" t="str">
        <f>IFERROR(__xludf.DUMMYFUNCTION("""COMPUTED_VALUE"""),"2021/2022")</f>
        <v>2021/2022</v>
      </c>
      <c r="E292" s="9">
        <f>IFERROR(__xludf.DUMMYFUNCTION("""COMPUTED_VALUE"""),44559.0)</f>
        <v>44559</v>
      </c>
      <c r="F292" s="5" t="str">
        <f>IFERROR(__xludf.DUMMYFUNCTION("""COMPUTED_VALUE"""),"Ganjil")</f>
        <v>Ganjil</v>
      </c>
      <c r="G292" s="5" t="str">
        <f>IFERROR(__xludf.DUMMYFUNCTION("""COMPUTED_VALUE"""),"Manajemen")</f>
        <v>Manajemen</v>
      </c>
      <c r="H292" s="10" t="str">
        <f>IFERROR(__xludf.DUMMYFUNCTION("""COMPUTED_VALUE"""),"Dosen")</f>
        <v>Dosen</v>
      </c>
      <c r="I292" s="6" t="str">
        <f>IFERROR(__xludf.DUMMYFUNCTION("""COMPUTED_VALUE"""),"Muhammad Jalari")</f>
        <v>Muhammad Jalari</v>
      </c>
      <c r="J292" s="6" t="str">
        <f>IFERROR(__xludf.DUMMYFUNCTION("""COMPUTED_VALUE"""),"Agus Marimin")</f>
        <v>Agus Marimin</v>
      </c>
      <c r="K292" s="6"/>
      <c r="L292" s="6"/>
      <c r="M292" s="6"/>
      <c r="N292" s="6"/>
      <c r="O292" s="6"/>
      <c r="P292" s="10" t="str">
        <f>IFERROR(__xludf.DUMMYFUNCTION("""COMPUTED_VALUE"""),"Muhammad Jalari,Agus Marimin,,")</f>
        <v>Muhammad Jalari,Agus Marimin,,</v>
      </c>
      <c r="Q292" s="11" t="str">
        <f>IFERROR(__xludf.DUMMYFUNCTION("""COMPUTED_VALUE"""),"https://drive.google.com/file/d/1pGUqttfHzOkBd_rwlPh9SFZU7Gvevf7G/view?usp=sharing")</f>
        <v>https://drive.google.com/file/d/1pGUqttfHzOkBd_rwlPh9SFZU7Gvevf7G/view?usp=sharing</v>
      </c>
      <c r="R292" s="6"/>
    </row>
    <row r="293">
      <c r="A293" s="5">
        <f>IFERROR(__xludf.DUMMYFUNCTION("""COMPUTED_VALUE"""),292.0)</f>
        <v>292</v>
      </c>
      <c r="B293" s="6" t="str">
        <f>IFERROR(__xludf.DUMMYFUNCTION("""COMPUTED_VALUE"""),"Menumbuhkan Jiwa Wirausaha Para Santri Menjadi Kreatif, Inovatif, Dan Mandiri")</f>
        <v>Menumbuhkan Jiwa Wirausaha Para Santri Menjadi Kreatif, Inovatif, Dan Mandiri</v>
      </c>
      <c r="C293" s="7">
        <f>IFERROR(__xludf.DUMMYFUNCTION("""COMPUTED_VALUE"""),2021.0)</f>
        <v>2021</v>
      </c>
      <c r="D293" s="8" t="str">
        <f>IFERROR(__xludf.DUMMYFUNCTION("""COMPUTED_VALUE"""),"2021/2022")</f>
        <v>2021/2022</v>
      </c>
      <c r="E293" s="9">
        <f>IFERROR(__xludf.DUMMYFUNCTION("""COMPUTED_VALUE"""),44559.0)</f>
        <v>44559</v>
      </c>
      <c r="F293" s="5" t="str">
        <f>IFERROR(__xludf.DUMMYFUNCTION("""COMPUTED_VALUE"""),"Ganjil")</f>
        <v>Ganjil</v>
      </c>
      <c r="G293" s="5" t="str">
        <f>IFERROR(__xludf.DUMMYFUNCTION("""COMPUTED_VALUE"""),"")</f>
        <v/>
      </c>
      <c r="H293" s="10" t="str">
        <f>IFERROR(__xludf.DUMMYFUNCTION("""COMPUTED_VALUE"""),"Dosen")</f>
        <v>Dosen</v>
      </c>
      <c r="I293" s="6"/>
      <c r="J293" s="6"/>
      <c r="K293" s="6"/>
      <c r="L293" s="6"/>
      <c r="M293" s="6"/>
      <c r="N293" s="6"/>
      <c r="O293" s="6"/>
      <c r="P293" s="10" t="str">
        <f>IFERROR(__xludf.DUMMYFUNCTION("""COMPUTED_VALUE"""),",,,")</f>
        <v>,,,</v>
      </c>
      <c r="Q293" s="6"/>
      <c r="R293" s="6"/>
    </row>
    <row r="294">
      <c r="A294" s="5">
        <f>IFERROR(__xludf.DUMMYFUNCTION("""COMPUTED_VALUE"""),293.0)</f>
        <v>293</v>
      </c>
      <c r="B294" s="6" t="str">
        <f>IFERROR(__xludf.DUMMYFUNCTION("""COMPUTED_VALUE"""),"Apa Penting Pembukuan di UKM? Studi Kasus Pada Unit Usaha/ UKM PPS Adh-Dhuha Gentan, Baki, Sukoharjo")</f>
        <v>Apa Penting Pembukuan di UKM? Studi Kasus Pada Unit Usaha/ UKM PPS Adh-Dhuha Gentan, Baki, Sukoharjo</v>
      </c>
      <c r="C294" s="7">
        <f>IFERROR(__xludf.DUMMYFUNCTION("""COMPUTED_VALUE"""),2021.0)</f>
        <v>2021</v>
      </c>
      <c r="D294" s="8" t="str">
        <f>IFERROR(__xludf.DUMMYFUNCTION("""COMPUTED_VALUE"""),"2021/2022")</f>
        <v>2021/2022</v>
      </c>
      <c r="E294" s="9">
        <f>IFERROR(__xludf.DUMMYFUNCTION("""COMPUTED_VALUE"""),44559.0)</f>
        <v>44559</v>
      </c>
      <c r="F294" s="5" t="str">
        <f>IFERROR(__xludf.DUMMYFUNCTION("""COMPUTED_VALUE"""),"Ganjil")</f>
        <v>Ganjil</v>
      </c>
      <c r="G294" s="5" t="str">
        <f>IFERROR(__xludf.DUMMYFUNCTION("""COMPUTED_VALUE"""),"")</f>
        <v/>
      </c>
      <c r="H294" s="10" t="str">
        <f>IFERROR(__xludf.DUMMYFUNCTION("""COMPUTED_VALUE"""),"Dosen")</f>
        <v>Dosen</v>
      </c>
      <c r="I294" s="6"/>
      <c r="J294" s="6"/>
      <c r="K294" s="6"/>
      <c r="L294" s="6"/>
      <c r="M294" s="6"/>
      <c r="N294" s="6"/>
      <c r="O294" s="6"/>
      <c r="P294" s="10" t="str">
        <f>IFERROR(__xludf.DUMMYFUNCTION("""COMPUTED_VALUE"""),",,,")</f>
        <v>,,,</v>
      </c>
      <c r="Q294" s="6"/>
      <c r="R294" s="6"/>
    </row>
    <row r="295">
      <c r="A295" s="5">
        <f>IFERROR(__xludf.DUMMYFUNCTION("""COMPUTED_VALUE"""),294.0)</f>
        <v>294</v>
      </c>
      <c r="B295" s="6" t="str">
        <f>IFERROR(__xludf.DUMMYFUNCTION("""COMPUTED_VALUE"""),"Mengoptimalkan Usaha Dalam Tinjauan Syariah Pada Paguyuban Pedagang Dan Petani Istiqomah Desa Blumbang, Tawangmangu, Karanganyar” Dengan Mitra Paguyuban Pedagang Dan Petani Desa Blumbang, Tawangmangu")</f>
        <v>Mengoptimalkan Usaha Dalam Tinjauan Syariah Pada Paguyuban Pedagang Dan Petani Istiqomah Desa Blumbang, Tawangmangu, Karanganyar” Dengan Mitra Paguyuban Pedagang Dan Petani Desa Blumbang, Tawangmangu</v>
      </c>
      <c r="C295" s="7">
        <f>IFERROR(__xludf.DUMMYFUNCTION("""COMPUTED_VALUE"""),2021.0)</f>
        <v>2021</v>
      </c>
      <c r="D295" s="8" t="str">
        <f>IFERROR(__xludf.DUMMYFUNCTION("""COMPUTED_VALUE"""),"2021/2022")</f>
        <v>2021/2022</v>
      </c>
      <c r="E295" s="9">
        <f>IFERROR(__xludf.DUMMYFUNCTION("""COMPUTED_VALUE"""),44559.0)</f>
        <v>44559</v>
      </c>
      <c r="F295" s="5" t="str">
        <f>IFERROR(__xludf.DUMMYFUNCTION("""COMPUTED_VALUE"""),"Ganjil")</f>
        <v>Ganjil</v>
      </c>
      <c r="G295" s="5" t="str">
        <f>IFERROR(__xludf.DUMMYFUNCTION("""COMPUTED_VALUE"""),"")</f>
        <v/>
      </c>
      <c r="H295" s="10" t="str">
        <f>IFERROR(__xludf.DUMMYFUNCTION("""COMPUTED_VALUE"""),"Dosen")</f>
        <v>Dosen</v>
      </c>
      <c r="I295" s="6"/>
      <c r="J295" s="6"/>
      <c r="K295" s="6"/>
      <c r="L295" s="6"/>
      <c r="M295" s="6"/>
      <c r="N295" s="6"/>
      <c r="O295" s="6"/>
      <c r="P295" s="10" t="str">
        <f>IFERROR(__xludf.DUMMYFUNCTION("""COMPUTED_VALUE"""),",,,")</f>
        <v>,,,</v>
      </c>
      <c r="Q295" s="6"/>
      <c r="R295" s="6"/>
    </row>
    <row r="296">
      <c r="A296" s="5">
        <f>IFERROR(__xludf.DUMMYFUNCTION("""COMPUTED_VALUE"""),295.0)</f>
        <v>295</v>
      </c>
      <c r="B296" s="6" t="str">
        <f>IFERROR(__xludf.DUMMYFUNCTION("""COMPUTED_VALUE"""),"Determinants of Utilization of Train Services at Solo Balapan Station")</f>
        <v>Determinants of Utilization of Train Services at Solo Balapan Station</v>
      </c>
      <c r="C296" s="7">
        <f>IFERROR(__xludf.DUMMYFUNCTION("""COMPUTED_VALUE"""),2021.0)</f>
        <v>2021</v>
      </c>
      <c r="D296" s="8" t="str">
        <f>IFERROR(__xludf.DUMMYFUNCTION("""COMPUTED_VALUE"""),"2021/2022")</f>
        <v>2021/2022</v>
      </c>
      <c r="E296" s="9">
        <f>IFERROR(__xludf.DUMMYFUNCTION("""COMPUTED_VALUE"""),44560.0)</f>
        <v>44560</v>
      </c>
      <c r="F296" s="5" t="str">
        <f>IFERROR(__xludf.DUMMYFUNCTION("""COMPUTED_VALUE"""),"Ganjil")</f>
        <v>Ganjil</v>
      </c>
      <c r="G296" s="5" t="str">
        <f>IFERROR(__xludf.DUMMYFUNCTION("""COMPUTED_VALUE"""),"Manajemen")</f>
        <v>Manajemen</v>
      </c>
      <c r="H296" s="10" t="str">
        <f>IFERROR(__xludf.DUMMYFUNCTION("""COMPUTED_VALUE"""),"Dosen")</f>
        <v>Dosen</v>
      </c>
      <c r="I296" s="6" t="str">
        <f>IFERROR(__xludf.DUMMYFUNCTION("""COMPUTED_VALUE"""),"Muhammad Jalari")</f>
        <v>Muhammad Jalari</v>
      </c>
      <c r="J296" s="6" t="str">
        <f>IFERROR(__xludf.DUMMYFUNCTION("""COMPUTED_VALUE"""),"Agus Marimin")</f>
        <v>Agus Marimin</v>
      </c>
      <c r="K296" s="6"/>
      <c r="L296" s="6"/>
      <c r="M296" s="6"/>
      <c r="N296" s="6"/>
      <c r="O296" s="6"/>
      <c r="P296" s="10" t="str">
        <f>IFERROR(__xludf.DUMMYFUNCTION("""COMPUTED_VALUE"""),"Muhammad Jalari,Agus Marimin,,")</f>
        <v>Muhammad Jalari,Agus Marimin,,</v>
      </c>
      <c r="Q296" s="11" t="str">
        <f>IFERROR(__xludf.DUMMYFUNCTION("""COMPUTED_VALUE"""),"https://journal.iaeijateng.org/index.php/ijiebmem/article/view/17")</f>
        <v>https://journal.iaeijateng.org/index.php/ijiebmem/article/view/17</v>
      </c>
      <c r="R296" s="6"/>
    </row>
    <row r="297">
      <c r="A297" s="5">
        <f>IFERROR(__xludf.DUMMYFUNCTION("""COMPUTED_VALUE"""),296.0)</f>
        <v>296</v>
      </c>
      <c r="B297" s="6" t="str">
        <f>IFERROR(__xludf.DUMMYFUNCTION("""COMPUTED_VALUE"""),"Evaluasi dan Pelatihan Akuntansi Organisasai Nirlaba Untuk Raudhatul Athfal IRMAS Sukoharjo")</f>
        <v>Evaluasi dan Pelatihan Akuntansi Organisasai Nirlaba Untuk Raudhatul Athfal IRMAS Sukoharjo</v>
      </c>
      <c r="C297" s="7">
        <f>IFERROR(__xludf.DUMMYFUNCTION("""COMPUTED_VALUE"""),2022.0)</f>
        <v>2022</v>
      </c>
      <c r="D297" s="8" t="str">
        <f>IFERROR(__xludf.DUMMYFUNCTION("""COMPUTED_VALUE"""),"2021/2022")</f>
        <v>2021/2022</v>
      </c>
      <c r="E297" s="9">
        <f>IFERROR(__xludf.DUMMYFUNCTION("""COMPUTED_VALUE"""),44563.0)</f>
        <v>44563</v>
      </c>
      <c r="F297" s="5" t="str">
        <f>IFERROR(__xludf.DUMMYFUNCTION("""COMPUTED_VALUE"""),"Ganjil")</f>
        <v>Ganjil</v>
      </c>
      <c r="G297" s="5" t="str">
        <f>IFERROR(__xludf.DUMMYFUNCTION("""COMPUTED_VALUE"""),"Akuntansi")</f>
        <v>Akuntansi</v>
      </c>
      <c r="H297" s="10" t="str">
        <f>IFERROR(__xludf.DUMMYFUNCTION("""COMPUTED_VALUE"""),"Dosen")</f>
        <v>Dosen</v>
      </c>
      <c r="I297" s="6" t="str">
        <f>IFERROR(__xludf.DUMMYFUNCTION("""COMPUTED_VALUE"""),"Eko Triyanto")</f>
        <v>Eko Triyanto</v>
      </c>
      <c r="J297" s="6" t="str">
        <f>IFERROR(__xludf.DUMMYFUNCTION("""COMPUTED_VALUE"""),"Heny Kurnianingsih")</f>
        <v>Heny Kurnianingsih</v>
      </c>
      <c r="K297" s="6" t="str">
        <f>IFERROR(__xludf.DUMMYFUNCTION("""COMPUTED_VALUE"""),"Arif Nugroho Rachman")</f>
        <v>Arif Nugroho Rachman</v>
      </c>
      <c r="L297" s="6"/>
      <c r="M297" s="6"/>
      <c r="N297" s="6"/>
      <c r="O297" s="6"/>
      <c r="P297" s="10" t="str">
        <f>IFERROR(__xludf.DUMMYFUNCTION("""COMPUTED_VALUE"""),"Eko Triyanto,Heny Kurnianingsih,Arif Nugroho Rachman,")</f>
        <v>Eko Triyanto,Heny Kurnianingsih,Arif Nugroho Rachman,</v>
      </c>
      <c r="Q297" s="11" t="str">
        <f>IFERROR(__xludf.DUMMYFUNCTION("""COMPUTED_VALUE"""),"https://jurnalpengabdian.stiesurakarta.ac.id/index.php/Dms/article/view/14")</f>
        <v>https://jurnalpengabdian.stiesurakarta.ac.id/index.php/Dms/article/view/14</v>
      </c>
      <c r="R297" s="6"/>
    </row>
    <row r="298">
      <c r="A298" s="5">
        <f>IFERROR(__xludf.DUMMYFUNCTION("""COMPUTED_VALUE"""),297.0)</f>
        <v>297</v>
      </c>
      <c r="B298" s="6" t="str">
        <f>IFERROR(__xludf.DUMMYFUNCTION("""COMPUTED_VALUE"""),"Peningkatan Literasi Keuangan, Kebutuhan Perpajakan, dan Tata Kelola PT. ESA")</f>
        <v>Peningkatan Literasi Keuangan, Kebutuhan Perpajakan, dan Tata Kelola PT. ESA</v>
      </c>
      <c r="C298" s="7">
        <f>IFERROR(__xludf.DUMMYFUNCTION("""COMPUTED_VALUE"""),2022.0)</f>
        <v>2022</v>
      </c>
      <c r="D298" s="8" t="str">
        <f>IFERROR(__xludf.DUMMYFUNCTION("""COMPUTED_VALUE"""),"2021/2022")</f>
        <v>2021/2022</v>
      </c>
      <c r="E298" s="9">
        <f>IFERROR(__xludf.DUMMYFUNCTION("""COMPUTED_VALUE"""),44563.0)</f>
        <v>44563</v>
      </c>
      <c r="F298" s="5" t="str">
        <f>IFERROR(__xludf.DUMMYFUNCTION("""COMPUTED_VALUE"""),"Ganjil")</f>
        <v>Ganjil</v>
      </c>
      <c r="G298" s="5" t="str">
        <f>IFERROR(__xludf.DUMMYFUNCTION("""COMPUTED_VALUE"""),"Akuntansi")</f>
        <v>Akuntansi</v>
      </c>
      <c r="H298" s="10" t="str">
        <f>IFERROR(__xludf.DUMMYFUNCTION("""COMPUTED_VALUE"""),"Dosen")</f>
        <v>Dosen</v>
      </c>
      <c r="I298" s="6" t="str">
        <f>IFERROR(__xludf.DUMMYFUNCTION("""COMPUTED_VALUE"""),"Rosita")</f>
        <v>Rosita</v>
      </c>
      <c r="J298" s="6" t="str">
        <f>IFERROR(__xludf.DUMMYFUNCTION("""COMPUTED_VALUE"""),"Ida Kade")</f>
        <v>Ida Kade</v>
      </c>
      <c r="K298" s="6" t="str">
        <f>IFERROR(__xludf.DUMMYFUNCTION("""COMPUTED_VALUE"""),"Astuning")</f>
        <v>Astuning</v>
      </c>
      <c r="L298" s="6" t="str">
        <f>IFERROR(__xludf.DUMMYFUNCTION("""COMPUTED_VALUE"""),"Nur Kholis")</f>
        <v>Nur Kholis</v>
      </c>
      <c r="M298" s="6" t="str">
        <f>IFERROR(__xludf.DUMMYFUNCTION("""COMPUTED_VALUE"""),"Caroline Ayunita Vivi Pratiwi")</f>
        <v>Caroline Ayunita Vivi Pratiwi</v>
      </c>
      <c r="N298" s="6"/>
      <c r="O298" s="6"/>
      <c r="P298" s="10" t="str">
        <f>IFERROR(__xludf.DUMMYFUNCTION("""COMPUTED_VALUE"""),"Rosita,Ida Kade,Astuning,Nur Kholis")</f>
        <v>Rosita,Ida Kade,Astuning,Nur Kholis</v>
      </c>
      <c r="Q298" s="11" t="str">
        <f>IFERROR(__xludf.DUMMYFUNCTION("""COMPUTED_VALUE"""),"https://jurnalpengabdian.stiesurakarta.ac.id/index.php/Dms/article/view/20")</f>
        <v>https://jurnalpengabdian.stiesurakarta.ac.id/index.php/Dms/article/view/20</v>
      </c>
      <c r="R298" s="6"/>
    </row>
    <row r="299">
      <c r="A299" s="5">
        <f>IFERROR(__xludf.DUMMYFUNCTION("""COMPUTED_VALUE"""),298.0)</f>
        <v>298</v>
      </c>
      <c r="B299" s="6" t="str">
        <f>IFERROR(__xludf.DUMMYFUNCTION("""COMPUTED_VALUE"""),"Testing Product Mix Against Brand Trust In The Digital Era")</f>
        <v>Testing Product Mix Against Brand Trust In The Digital Era</v>
      </c>
      <c r="C299" s="7">
        <f>IFERROR(__xludf.DUMMYFUNCTION("""COMPUTED_VALUE"""),2022.0)</f>
        <v>2022</v>
      </c>
      <c r="D299" s="8" t="str">
        <f>IFERROR(__xludf.DUMMYFUNCTION("""COMPUTED_VALUE"""),"2021/2022")</f>
        <v>2021/2022</v>
      </c>
      <c r="E299" s="9">
        <f>IFERROR(__xludf.DUMMYFUNCTION("""COMPUTED_VALUE"""),44575.0)</f>
        <v>44575</v>
      </c>
      <c r="F299" s="5" t="str">
        <f>IFERROR(__xludf.DUMMYFUNCTION("""COMPUTED_VALUE"""),"Ganjil")</f>
        <v>Ganjil</v>
      </c>
      <c r="G299" s="5" t="str">
        <f>IFERROR(__xludf.DUMMYFUNCTION("""COMPUTED_VALUE"""),"Manajemen")</f>
        <v>Manajemen</v>
      </c>
      <c r="H299" s="10" t="str">
        <f>IFERROR(__xludf.DUMMYFUNCTION("""COMPUTED_VALUE"""),"Dosen")</f>
        <v>Dosen</v>
      </c>
      <c r="I299" s="6" t="str">
        <f>IFERROR(__xludf.DUMMYFUNCTION("""COMPUTED_VALUE"""),"Muhammad Jalari")</f>
        <v>Muhammad Jalari</v>
      </c>
      <c r="J299" s="6" t="str">
        <f>IFERROR(__xludf.DUMMYFUNCTION("""COMPUTED_VALUE"""),"Agus Marimin")</f>
        <v>Agus Marimin</v>
      </c>
      <c r="K299" s="6"/>
      <c r="L299" s="6"/>
      <c r="M299" s="6"/>
      <c r="N299" s="6"/>
      <c r="O299" s="6"/>
      <c r="P299" s="10" t="str">
        <f>IFERROR(__xludf.DUMMYFUNCTION("""COMPUTED_VALUE"""),"Muhammad Jalari,Agus Marimin,,")</f>
        <v>Muhammad Jalari,Agus Marimin,,</v>
      </c>
      <c r="Q299" s="11" t="str">
        <f>IFERROR(__xludf.DUMMYFUNCTION("""COMPUTED_VALUE"""),"https://seocologi.com/index.php/seocology/article/view/50")</f>
        <v>https://seocologi.com/index.php/seocology/article/view/50</v>
      </c>
      <c r="R299" s="6"/>
    </row>
    <row r="300">
      <c r="A300" s="5">
        <f>IFERROR(__xludf.DUMMYFUNCTION("""COMPUTED_VALUE"""),299.0)</f>
        <v>299</v>
      </c>
      <c r="B300" s="6" t="str">
        <f>IFERROR(__xludf.DUMMYFUNCTION("""COMPUTED_VALUE"""),"Implikasi Store Atmosphere, Kualitas Produk, Persepsi Harga, Dan Gaya Hidup Terhadap Keputusan Pembelian Di Euphoria Café Karanganyar")</f>
        <v>Implikasi Store Atmosphere, Kualitas Produk, Persepsi Harga, Dan Gaya Hidup Terhadap Keputusan Pembelian Di Euphoria Café Karanganyar</v>
      </c>
      <c r="C300" s="7">
        <f>IFERROR(__xludf.DUMMYFUNCTION("""COMPUTED_VALUE"""),2022.0)</f>
        <v>2022</v>
      </c>
      <c r="D300" s="8" t="str">
        <f>IFERROR(__xludf.DUMMYFUNCTION("""COMPUTED_VALUE"""),"2021/2022")</f>
        <v>2021/2022</v>
      </c>
      <c r="E300" s="9">
        <f>IFERROR(__xludf.DUMMYFUNCTION("""COMPUTED_VALUE"""),44577.0)</f>
        <v>44577</v>
      </c>
      <c r="F300" s="5" t="str">
        <f>IFERROR(__xludf.DUMMYFUNCTION("""COMPUTED_VALUE"""),"Ganjil")</f>
        <v>Ganjil</v>
      </c>
      <c r="G300" s="5" t="str">
        <f>IFERROR(__xludf.DUMMYFUNCTION("""COMPUTED_VALUE"""),"Manajemen")</f>
        <v>Manajemen</v>
      </c>
      <c r="H300" s="10" t="str">
        <f>IFERROR(__xludf.DUMMYFUNCTION("""COMPUTED_VALUE"""),"Mahasiswa")</f>
        <v>Mahasiswa</v>
      </c>
      <c r="I300" s="6" t="str">
        <f>IFERROR(__xludf.DUMMYFUNCTION("""COMPUTED_VALUE"""),"Muhammad Akbar Wisnu Mumpuni")</f>
        <v>Muhammad Akbar Wisnu Mumpuni</v>
      </c>
      <c r="J300" s="6" t="str">
        <f>IFERROR(__xludf.DUMMYFUNCTION("""COMPUTED_VALUE"""),"Andri Nurtantiono")</f>
        <v>Andri Nurtantiono</v>
      </c>
      <c r="K300" s="6"/>
      <c r="L300" s="6"/>
      <c r="M300" s="6"/>
      <c r="N300" s="6"/>
      <c r="O300" s="6"/>
      <c r="P300" s="10" t="str">
        <f>IFERROR(__xludf.DUMMYFUNCTION("""COMPUTED_VALUE"""),"Muhammad Akbar Wisnu Mumpuni,Andri Nurtantiono,,")</f>
        <v>Muhammad Akbar Wisnu Mumpuni,Andri Nurtantiono,,</v>
      </c>
      <c r="Q300" s="11" t="str">
        <f>IFERROR(__xludf.DUMMYFUNCTION("""COMPUTED_VALUE"""),"https://jurnal.stie-aas.ac.id/index.php/jie/article/view/3959")</f>
        <v>https://jurnal.stie-aas.ac.id/index.php/jie/article/view/3959</v>
      </c>
      <c r="R300" s="6"/>
    </row>
    <row r="301">
      <c r="A301" s="5">
        <f>IFERROR(__xludf.DUMMYFUNCTION("""COMPUTED_VALUE"""),300.0)</f>
        <v>300</v>
      </c>
      <c r="B301" s="6" t="str">
        <f>IFERROR(__xludf.DUMMYFUNCTION("""COMPUTED_VALUE"""),"Menguji Literasi Keuangan, Gaya Hidup dan Pengendalian Diri terhadap Perilaku Konsumtif Millenial Pengguna Go-Jek Sukoharjo")</f>
        <v>Menguji Literasi Keuangan, Gaya Hidup dan Pengendalian Diri terhadap Perilaku Konsumtif Millenial Pengguna Go-Jek Sukoharjo</v>
      </c>
      <c r="C301" s="7">
        <f>IFERROR(__xludf.DUMMYFUNCTION("""COMPUTED_VALUE"""),2022.0)</f>
        <v>2022</v>
      </c>
      <c r="D301" s="8" t="str">
        <f>IFERROR(__xludf.DUMMYFUNCTION("""COMPUTED_VALUE"""),"2021/2022")</f>
        <v>2021/2022</v>
      </c>
      <c r="E301" s="9">
        <f>IFERROR(__xludf.DUMMYFUNCTION("""COMPUTED_VALUE"""),44587.0)</f>
        <v>44587</v>
      </c>
      <c r="F301" s="5" t="str">
        <f>IFERROR(__xludf.DUMMYFUNCTION("""COMPUTED_VALUE"""),"Ganjil")</f>
        <v>Ganjil</v>
      </c>
      <c r="G301" s="5" t="str">
        <f>IFERROR(__xludf.DUMMYFUNCTION("""COMPUTED_VALUE"""),"Manajemen")</f>
        <v>Manajemen</v>
      </c>
      <c r="H301" s="10" t="str">
        <f>IFERROR(__xludf.DUMMYFUNCTION("""COMPUTED_VALUE"""),"Mahasiswa")</f>
        <v>Mahasiswa</v>
      </c>
      <c r="I301" s="6" t="str">
        <f>IFERROR(__xludf.DUMMYFUNCTION("""COMPUTED_VALUE"""),"Rafika Putri Pratiwi")</f>
        <v>Rafika Putri Pratiwi</v>
      </c>
      <c r="J301" s="6" t="str">
        <f>IFERROR(__xludf.DUMMYFUNCTION("""COMPUTED_VALUE"""),"Ari Susanti")</f>
        <v>Ari Susanti</v>
      </c>
      <c r="K301" s="6"/>
      <c r="L301" s="6"/>
      <c r="M301" s="6"/>
      <c r="N301" s="6"/>
      <c r="O301" s="6"/>
      <c r="P301" s="10" t="str">
        <f>IFERROR(__xludf.DUMMYFUNCTION("""COMPUTED_VALUE"""),"Rafika Putri Pratiwi,Ari Susanti,,")</f>
        <v>Rafika Putri Pratiwi,Ari Susanti,,</v>
      </c>
      <c r="Q301" s="11" t="str">
        <f>IFERROR(__xludf.DUMMYFUNCTION("""COMPUTED_VALUE"""),"https://plj.ac.id/ojs/index.php/jrlab/article/view/502")</f>
        <v>https://plj.ac.id/ojs/index.php/jrlab/article/view/502</v>
      </c>
      <c r="R301" s="6"/>
    </row>
    <row r="302">
      <c r="A302" s="5">
        <f>IFERROR(__xludf.DUMMYFUNCTION("""COMPUTED_VALUE"""),301.0)</f>
        <v>301</v>
      </c>
      <c r="B302" s="6" t="str">
        <f>IFERROR(__xludf.DUMMYFUNCTION("""COMPUTED_VALUE"""),"Pengaruh Insentif Pajak Dan Subsidi Upah Pandemi Covid-19 Terhadap Daya Beli Masyarakat")</f>
        <v>Pengaruh Insentif Pajak Dan Subsidi Upah Pandemi Covid-19 Terhadap Daya Beli Masyarakat</v>
      </c>
      <c r="C302" s="7">
        <f>IFERROR(__xludf.DUMMYFUNCTION("""COMPUTED_VALUE"""),2022.0)</f>
        <v>2022</v>
      </c>
      <c r="D302" s="8" t="str">
        <f>IFERROR(__xludf.DUMMYFUNCTION("""COMPUTED_VALUE"""),"2021/2022")</f>
        <v>2021/2022</v>
      </c>
      <c r="E302" s="9">
        <f>IFERROR(__xludf.DUMMYFUNCTION("""COMPUTED_VALUE"""),44591.0)</f>
        <v>44591</v>
      </c>
      <c r="F302" s="5" t="str">
        <f>IFERROR(__xludf.DUMMYFUNCTION("""COMPUTED_VALUE"""),"Ganjil")</f>
        <v>Ganjil</v>
      </c>
      <c r="G302" s="5" t="str">
        <f>IFERROR(__xludf.DUMMYFUNCTION("""COMPUTED_VALUE"""),"Akuntansi")</f>
        <v>Akuntansi</v>
      </c>
      <c r="H302" s="10" t="str">
        <f>IFERROR(__xludf.DUMMYFUNCTION("""COMPUTED_VALUE"""),"Mahasiswa")</f>
        <v>Mahasiswa</v>
      </c>
      <c r="I302" s="6" t="str">
        <f>IFERROR(__xludf.DUMMYFUNCTION("""COMPUTED_VALUE"""),"Sulastri")</f>
        <v>Sulastri</v>
      </c>
      <c r="J302" s="6" t="str">
        <f>IFERROR(__xludf.DUMMYFUNCTION("""COMPUTED_VALUE"""),"Nur Kholis")</f>
        <v>Nur Kholis</v>
      </c>
      <c r="K302" s="6"/>
      <c r="L302" s="6"/>
      <c r="M302" s="6"/>
      <c r="N302" s="6"/>
      <c r="O302" s="6"/>
      <c r="P302" s="10" t="str">
        <f>IFERROR(__xludf.DUMMYFUNCTION("""COMPUTED_VALUE"""),"Sulastri,Nur Kholis,,")</f>
        <v>Sulastri,Nur Kholis,,</v>
      </c>
      <c r="Q302" s="11" t="str">
        <f>IFERROR(__xludf.DUMMYFUNCTION("""COMPUTED_VALUE"""),"http://jurnal.unmuhjember.ac.id/index.php/PENELITIAN_IPTEKS/article/view/6863")</f>
        <v>http://jurnal.unmuhjember.ac.id/index.php/PENELITIAN_IPTEKS/article/view/6863</v>
      </c>
      <c r="R302" s="6"/>
    </row>
    <row r="303">
      <c r="A303" s="5">
        <f>IFERROR(__xludf.DUMMYFUNCTION("""COMPUTED_VALUE"""),302.0)</f>
        <v>302</v>
      </c>
      <c r="B303" s="6" t="str">
        <f>IFERROR(__xludf.DUMMYFUNCTION("""COMPUTED_VALUE"""),"Analisis Perilaku Wajib Pajak Terhadap Penerapan Sistem Pembayaran Online Pbb (Sipp Pakde)")</f>
        <v>Analisis Perilaku Wajib Pajak Terhadap Penerapan Sistem Pembayaran Online Pbb (Sipp Pakde)</v>
      </c>
      <c r="C303" s="7">
        <f>IFERROR(__xludf.DUMMYFUNCTION("""COMPUTED_VALUE"""),2022.0)</f>
        <v>2022</v>
      </c>
      <c r="D303" s="8" t="str">
        <f>IFERROR(__xludf.DUMMYFUNCTION("""COMPUTED_VALUE"""),"2021/2022")</f>
        <v>2021/2022</v>
      </c>
      <c r="E303" s="9">
        <f>IFERROR(__xludf.DUMMYFUNCTION("""COMPUTED_VALUE"""),44591.0)</f>
        <v>44591</v>
      </c>
      <c r="F303" s="5" t="str">
        <f>IFERROR(__xludf.DUMMYFUNCTION("""COMPUTED_VALUE"""),"Ganjil")</f>
        <v>Ganjil</v>
      </c>
      <c r="G303" s="5" t="str">
        <f>IFERROR(__xludf.DUMMYFUNCTION("""COMPUTED_VALUE"""),"Akuntansi")</f>
        <v>Akuntansi</v>
      </c>
      <c r="H303" s="10" t="str">
        <f>IFERROR(__xludf.DUMMYFUNCTION("""COMPUTED_VALUE"""),"Mahasiswa")</f>
        <v>Mahasiswa</v>
      </c>
      <c r="I303" s="6" t="str">
        <f>IFERROR(__xludf.DUMMYFUNCTION("""COMPUTED_VALUE"""),"Novitasari")</f>
        <v>Novitasari</v>
      </c>
      <c r="J303" s="6" t="str">
        <f>IFERROR(__xludf.DUMMYFUNCTION("""COMPUTED_VALUE"""),"Nur Kholis")</f>
        <v>Nur Kholis</v>
      </c>
      <c r="K303" s="6"/>
      <c r="L303" s="6"/>
      <c r="M303" s="6"/>
      <c r="N303" s="6"/>
      <c r="O303" s="6"/>
      <c r="P303" s="10" t="str">
        <f>IFERROR(__xludf.DUMMYFUNCTION("""COMPUTED_VALUE"""),"Novitasari,Nur Kholis,,")</f>
        <v>Novitasari,Nur Kholis,,</v>
      </c>
      <c r="Q303" s="11" t="str">
        <f>IFERROR(__xludf.DUMMYFUNCTION("""COMPUTED_VALUE"""),"http://jurnal.unmuhjember.ac.id/index.php/PENELITIAN_IPTEKS/article/view/6864/0")</f>
        <v>http://jurnal.unmuhjember.ac.id/index.php/PENELITIAN_IPTEKS/article/view/6864/0</v>
      </c>
      <c r="R303" s="6"/>
    </row>
    <row r="304">
      <c r="A304" s="5">
        <f>IFERROR(__xludf.DUMMYFUNCTION("""COMPUTED_VALUE"""),303.0)</f>
        <v>303</v>
      </c>
      <c r="B304" s="6" t="str">
        <f>IFERROR(__xludf.DUMMYFUNCTION("""COMPUTED_VALUE"""),"Geliat Informasi Akuntansi Usaha Kecil Rotan Trangsan Sukoharjo")</f>
        <v>Geliat Informasi Akuntansi Usaha Kecil Rotan Trangsan Sukoharjo</v>
      </c>
      <c r="C304" s="7">
        <f>IFERROR(__xludf.DUMMYFUNCTION("""COMPUTED_VALUE"""),2022.0)</f>
        <v>2022</v>
      </c>
      <c r="D304" s="8" t="str">
        <f>IFERROR(__xludf.DUMMYFUNCTION("""COMPUTED_VALUE"""),"2021/2022")</f>
        <v>2021/2022</v>
      </c>
      <c r="E304" s="9">
        <f>IFERROR(__xludf.DUMMYFUNCTION("""COMPUTED_VALUE"""),44592.0)</f>
        <v>44592</v>
      </c>
      <c r="F304" s="5" t="str">
        <f>IFERROR(__xludf.DUMMYFUNCTION("""COMPUTED_VALUE"""),"Ganjil")</f>
        <v>Ganjil</v>
      </c>
      <c r="G304" s="5" t="str">
        <f>IFERROR(__xludf.DUMMYFUNCTION("""COMPUTED_VALUE"""),"Akuntansi")</f>
        <v>Akuntansi</v>
      </c>
      <c r="H304" s="10" t="str">
        <f>IFERROR(__xludf.DUMMYFUNCTION("""COMPUTED_VALUE"""),"Dosen")</f>
        <v>Dosen</v>
      </c>
      <c r="I304" s="6" t="str">
        <f>IFERROR(__xludf.DUMMYFUNCTION("""COMPUTED_VALUE"""),"Pardi")</f>
        <v>Pardi</v>
      </c>
      <c r="J304" s="6" t="str">
        <f>IFERROR(__xludf.DUMMYFUNCTION("""COMPUTED_VALUE"""),"Nursiam Nursiam")</f>
        <v>Nursiam Nursiam</v>
      </c>
      <c r="K304" s="6"/>
      <c r="L304" s="6"/>
      <c r="M304" s="6"/>
      <c r="N304" s="6"/>
      <c r="O304" s="6"/>
      <c r="P304" s="10" t="str">
        <f>IFERROR(__xludf.DUMMYFUNCTION("""COMPUTED_VALUE"""),"Pardi,Nursiam Nursiam,,")</f>
        <v>Pardi,Nursiam Nursiam,,</v>
      </c>
      <c r="Q304" s="11" t="str">
        <f>IFERROR(__xludf.DUMMYFUNCTION("""COMPUTED_VALUE"""),"https://jurnal.stie-aas.ac.id/index.php/jap/article/view/3775")</f>
        <v>https://jurnal.stie-aas.ac.id/index.php/jap/article/view/3775</v>
      </c>
      <c r="R304" s="6"/>
    </row>
    <row r="305">
      <c r="A305" s="5">
        <f>IFERROR(__xludf.DUMMYFUNCTION("""COMPUTED_VALUE"""),304.0)</f>
        <v>304</v>
      </c>
      <c r="B305" s="6" t="str">
        <f>IFERROR(__xludf.DUMMYFUNCTION("""COMPUTED_VALUE"""),"Menguji kualitas produk, harga dan citra merek terhadap keputusan pembelian rokok elektrik di Soloraya")</f>
        <v>Menguji kualitas produk, harga dan citra merek terhadap keputusan pembelian rokok elektrik di Soloraya</v>
      </c>
      <c r="C305" s="7">
        <f>IFERROR(__xludf.DUMMYFUNCTION("""COMPUTED_VALUE"""),2022.0)</f>
        <v>2022</v>
      </c>
      <c r="D305" s="8" t="str">
        <f>IFERROR(__xludf.DUMMYFUNCTION("""COMPUTED_VALUE"""),"2021/2022")</f>
        <v>2021/2022</v>
      </c>
      <c r="E305" s="9">
        <f>IFERROR(__xludf.DUMMYFUNCTION("""COMPUTED_VALUE"""),44594.0)</f>
        <v>44594</v>
      </c>
      <c r="F305" s="5" t="str">
        <f>IFERROR(__xludf.DUMMYFUNCTION("""COMPUTED_VALUE"""),"Ganjil")</f>
        <v>Ganjil</v>
      </c>
      <c r="G305" s="5" t="str">
        <f>IFERROR(__xludf.DUMMYFUNCTION("""COMPUTED_VALUE"""),"Manajemen")</f>
        <v>Manajemen</v>
      </c>
      <c r="H305" s="10" t="str">
        <f>IFERROR(__xludf.DUMMYFUNCTION("""COMPUTED_VALUE"""),"Mahasiswa")</f>
        <v>Mahasiswa</v>
      </c>
      <c r="I305" s="6" t="str">
        <f>IFERROR(__xludf.DUMMYFUNCTION("""COMPUTED_VALUE"""),"Dwi Haryono")</f>
        <v>Dwi Haryono</v>
      </c>
      <c r="J305" s="6" t="str">
        <f>IFERROR(__xludf.DUMMYFUNCTION("""COMPUTED_VALUE"""),"Heny Kurnianingsih")</f>
        <v>Heny Kurnianingsih</v>
      </c>
      <c r="K305" s="6"/>
      <c r="L305" s="6"/>
      <c r="M305" s="6"/>
      <c r="N305" s="6"/>
      <c r="O305" s="6"/>
      <c r="P305" s="10" t="str">
        <f>IFERROR(__xludf.DUMMYFUNCTION("""COMPUTED_VALUE"""),"Dwi Haryono,Heny Kurnianingsih,,")</f>
        <v>Dwi Haryono,Heny Kurnianingsih,,</v>
      </c>
      <c r="Q305" s="11" t="str">
        <f>IFERROR(__xludf.DUMMYFUNCTION("""COMPUTED_VALUE"""),"https://www.researchgate.net/publication/359225470_MENGUJI_KUALITAS_PRODUK_HARGA_DAN_CITRA_MEREK_TERHADAP_KEPUTUSAN_PEMBELIAN_ROKOK_ELEKTRIK_DI_SOLORAYA")</f>
        <v>https://www.researchgate.net/publication/359225470_MENGUJI_KUALITAS_PRODUK_HARGA_DAN_CITRA_MEREK_TERHADAP_KEPUTUSAN_PEMBELIAN_ROKOK_ELEKTRIK_DI_SOLORAYA</v>
      </c>
      <c r="R305" s="6"/>
    </row>
    <row r="306">
      <c r="A306" s="5">
        <f>IFERROR(__xludf.DUMMYFUNCTION("""COMPUTED_VALUE"""),305.0)</f>
        <v>305</v>
      </c>
      <c r="B306" s="6" t="str">
        <f>IFERROR(__xludf.DUMMYFUNCTION("""COMPUTED_VALUE"""),"Pengaruh Brand Image, Brand Trust, dan Brand Awareness terhadap Brand Loyalty Telkomsel di Kalangan Mahasiswa")</f>
        <v>Pengaruh Brand Image, Brand Trust, dan Brand Awareness terhadap Brand Loyalty Telkomsel di Kalangan Mahasiswa</v>
      </c>
      <c r="C306" s="7">
        <f>IFERROR(__xludf.DUMMYFUNCTION("""COMPUTED_VALUE"""),2022.0)</f>
        <v>2022</v>
      </c>
      <c r="D306" s="8" t="str">
        <f>IFERROR(__xludf.DUMMYFUNCTION("""COMPUTED_VALUE"""),"2021/2022")</f>
        <v>2021/2022</v>
      </c>
      <c r="E306" s="9">
        <f>IFERROR(__xludf.DUMMYFUNCTION("""COMPUTED_VALUE"""),44594.0)</f>
        <v>44594</v>
      </c>
      <c r="F306" s="5" t="str">
        <f>IFERROR(__xludf.DUMMYFUNCTION("""COMPUTED_VALUE"""),"Ganjil")</f>
        <v>Ganjil</v>
      </c>
      <c r="G306" s="5" t="str">
        <f>IFERROR(__xludf.DUMMYFUNCTION("""COMPUTED_VALUE"""),"Manajemen")</f>
        <v>Manajemen</v>
      </c>
      <c r="H306" s="10" t="str">
        <f>IFERROR(__xludf.DUMMYFUNCTION("""COMPUTED_VALUE"""),"Mahasiswa")</f>
        <v>Mahasiswa</v>
      </c>
      <c r="I306" s="6" t="str">
        <f>IFERROR(__xludf.DUMMYFUNCTION("""COMPUTED_VALUE"""),"Sinta Anggraeni")</f>
        <v>Sinta Anggraeni</v>
      </c>
      <c r="J306" s="6" t="str">
        <f>IFERROR(__xludf.DUMMYFUNCTION("""COMPUTED_VALUE"""),"Ida Ayu Kade")</f>
        <v>Ida Ayu Kade</v>
      </c>
      <c r="K306" s="6"/>
      <c r="L306" s="6"/>
      <c r="M306" s="6"/>
      <c r="N306" s="6"/>
      <c r="O306" s="6"/>
      <c r="P306" s="10" t="str">
        <f>IFERROR(__xludf.DUMMYFUNCTION("""COMPUTED_VALUE"""),"Sinta Anggraeni,Ida Ayu Kade,,")</f>
        <v>Sinta Anggraeni,Ida Ayu Kade,,</v>
      </c>
      <c r="Q306" s="11" t="str">
        <f>IFERROR(__xludf.DUMMYFUNCTION("""COMPUTED_VALUE"""),"https://journal.uniku.ac.id/index.php/ijsm/article/view/4053")</f>
        <v>https://journal.uniku.ac.id/index.php/ijsm/article/view/4053</v>
      </c>
      <c r="R306" s="6"/>
    </row>
    <row r="307">
      <c r="A307" s="5">
        <f>IFERROR(__xludf.DUMMYFUNCTION("""COMPUTED_VALUE"""),306.0)</f>
        <v>306</v>
      </c>
      <c r="B307" s="6" t="str">
        <f>IFERROR(__xludf.DUMMYFUNCTION("""COMPUTED_VALUE"""),"Kinerja Karyawan Akuntansi Pt Pos Indonesia Surakarta Masa Pandemi")</f>
        <v>Kinerja Karyawan Akuntansi Pt Pos Indonesia Surakarta Masa Pandemi</v>
      </c>
      <c r="C307" s="7">
        <f>IFERROR(__xludf.DUMMYFUNCTION("""COMPUTED_VALUE"""),2022.0)</f>
        <v>2022</v>
      </c>
      <c r="D307" s="8" t="str">
        <f>IFERROR(__xludf.DUMMYFUNCTION("""COMPUTED_VALUE"""),"2021/2022")</f>
        <v>2021/2022</v>
      </c>
      <c r="E307" s="9">
        <f>IFERROR(__xludf.DUMMYFUNCTION("""COMPUTED_VALUE"""),44603.0)</f>
        <v>44603</v>
      </c>
      <c r="F307" s="5" t="str">
        <f>IFERROR(__xludf.DUMMYFUNCTION("""COMPUTED_VALUE"""),"Ganjil")</f>
        <v>Ganjil</v>
      </c>
      <c r="G307" s="5" t="str">
        <f>IFERROR(__xludf.DUMMYFUNCTION("""COMPUTED_VALUE"""),"Akuntansi")</f>
        <v>Akuntansi</v>
      </c>
      <c r="H307" s="10" t="str">
        <f>IFERROR(__xludf.DUMMYFUNCTION("""COMPUTED_VALUE"""),"Mahasiswa")</f>
        <v>Mahasiswa</v>
      </c>
      <c r="I307" s="6" t="str">
        <f>IFERROR(__xludf.DUMMYFUNCTION("""COMPUTED_VALUE"""),"Defvi Setyowati")</f>
        <v>Defvi Setyowati</v>
      </c>
      <c r="J307" s="6" t="str">
        <f>IFERROR(__xludf.DUMMYFUNCTION("""COMPUTED_VALUE"""),"Pardi")</f>
        <v>Pardi</v>
      </c>
      <c r="K307" s="6"/>
      <c r="L307" s="6"/>
      <c r="M307" s="6"/>
      <c r="N307" s="6"/>
      <c r="O307" s="6"/>
      <c r="P307" s="10" t="str">
        <f>IFERROR(__xludf.DUMMYFUNCTION("""COMPUTED_VALUE"""),"Defvi Setyowati,Pardi,,")</f>
        <v>Defvi Setyowati,Pardi,,</v>
      </c>
      <c r="Q307" s="11" t="str">
        <f>IFERROR(__xludf.DUMMYFUNCTION("""COMPUTED_VALUE"""),"https://garuda.kemdikbud.go.id/documents/detail/2566179")</f>
        <v>https://garuda.kemdikbud.go.id/documents/detail/2566179</v>
      </c>
      <c r="R307" s="6"/>
    </row>
    <row r="308">
      <c r="A308" s="5">
        <f>IFERROR(__xludf.DUMMYFUNCTION("""COMPUTED_VALUE"""),307.0)</f>
        <v>307</v>
      </c>
      <c r="B308" s="6" t="str">
        <f>IFERROR(__xludf.DUMMYFUNCTION("""COMPUTED_VALUE"""),"Menguji Kualitas Produk, Harga, Dan Citra Merek Terhadap Keputusan Pembelian Rokok Elektrik Di Soloraya")</f>
        <v>Menguji Kualitas Produk, Harga, Dan Citra Merek Terhadap Keputusan Pembelian Rokok Elektrik Di Soloraya</v>
      </c>
      <c r="C308" s="7">
        <f>IFERROR(__xludf.DUMMYFUNCTION("""COMPUTED_VALUE"""),2022.0)</f>
        <v>2022</v>
      </c>
      <c r="D308" s="8" t="str">
        <f>IFERROR(__xludf.DUMMYFUNCTION("""COMPUTED_VALUE"""),"2021/2022")</f>
        <v>2021/2022</v>
      </c>
      <c r="E308" s="9">
        <f>IFERROR(__xludf.DUMMYFUNCTION("""COMPUTED_VALUE"""),44606.0)</f>
        <v>44606</v>
      </c>
      <c r="F308" s="5" t="str">
        <f>IFERROR(__xludf.DUMMYFUNCTION("""COMPUTED_VALUE"""),"Ganjil")</f>
        <v>Ganjil</v>
      </c>
      <c r="G308" s="5" t="str">
        <f>IFERROR(__xludf.DUMMYFUNCTION("""COMPUTED_VALUE"""),"Manajemen")</f>
        <v>Manajemen</v>
      </c>
      <c r="H308" s="10" t="str">
        <f>IFERROR(__xludf.DUMMYFUNCTION("""COMPUTED_VALUE"""),"Mahasiswa")</f>
        <v>Mahasiswa</v>
      </c>
      <c r="I308" s="6" t="str">
        <f>IFERROR(__xludf.DUMMYFUNCTION("""COMPUTED_VALUE"""),"Dwi Haryono")</f>
        <v>Dwi Haryono</v>
      </c>
      <c r="J308" s="6" t="str">
        <f>IFERROR(__xludf.DUMMYFUNCTION("""COMPUTED_VALUE"""),"Heny Kurnianingsih")</f>
        <v>Heny Kurnianingsih</v>
      </c>
      <c r="K308" s="6"/>
      <c r="L308" s="6"/>
      <c r="M308" s="6"/>
      <c r="N308" s="6"/>
      <c r="O308" s="6"/>
      <c r="P308" s="10" t="str">
        <f>IFERROR(__xludf.DUMMYFUNCTION("""COMPUTED_VALUE"""),"Dwi Haryono,Heny Kurnianingsih,,")</f>
        <v>Dwi Haryono,Heny Kurnianingsih,,</v>
      </c>
      <c r="Q308" s="11" t="str">
        <f>IFERROR(__xludf.DUMMYFUNCTION("""COMPUTED_VALUE"""),"https://garuda.kemdikbud.go.id/documents/detail/2566914")</f>
        <v>https://garuda.kemdikbud.go.id/documents/detail/2566914</v>
      </c>
      <c r="R308" s="6"/>
    </row>
    <row r="309">
      <c r="A309" s="5">
        <f>IFERROR(__xludf.DUMMYFUNCTION("""COMPUTED_VALUE"""),308.0)</f>
        <v>308</v>
      </c>
      <c r="B309" s="6" t="str">
        <f>IFERROR(__xludf.DUMMYFUNCTION("""COMPUTED_VALUE"""),"FAKTOR-FAKTOR YANG MEMPENGARUHI KEPUTUSAN PEMBELIAN SEPEDA LIPAT DI MASA")</f>
        <v>FAKTOR-FAKTOR YANG MEMPENGARUHI KEPUTUSAN PEMBELIAN SEPEDA LIPAT DI MASA</v>
      </c>
      <c r="C309" s="7">
        <f>IFERROR(__xludf.DUMMYFUNCTION("""COMPUTED_VALUE"""),2022.0)</f>
        <v>2022</v>
      </c>
      <c r="D309" s="8" t="str">
        <f>IFERROR(__xludf.DUMMYFUNCTION("""COMPUTED_VALUE"""),"2021/2022")</f>
        <v>2021/2022</v>
      </c>
      <c r="E309" s="9">
        <f>IFERROR(__xludf.DUMMYFUNCTION("""COMPUTED_VALUE"""),44615.0)</f>
        <v>44615</v>
      </c>
      <c r="F309" s="5" t="str">
        <f>IFERROR(__xludf.DUMMYFUNCTION("""COMPUTED_VALUE"""),"Ganjil")</f>
        <v>Ganjil</v>
      </c>
      <c r="G309" s="5" t="str">
        <f>IFERROR(__xludf.DUMMYFUNCTION("""COMPUTED_VALUE"""),"Manajemen")</f>
        <v>Manajemen</v>
      </c>
      <c r="H309" s="10" t="str">
        <f>IFERROR(__xludf.DUMMYFUNCTION("""COMPUTED_VALUE"""),"Mahasiswa")</f>
        <v>Mahasiswa</v>
      </c>
      <c r="I309" s="6" t="str">
        <f>IFERROR(__xludf.DUMMYFUNCTION("""COMPUTED_VALUE"""),"Andhita Dyah Luhung Pahesti")</f>
        <v>Andhita Dyah Luhung Pahesti</v>
      </c>
      <c r="J309" s="6" t="str">
        <f>IFERROR(__xludf.DUMMYFUNCTION("""COMPUTED_VALUE"""),"Ginanjar Rahmawan")</f>
        <v>Ginanjar Rahmawan</v>
      </c>
      <c r="K309" s="6"/>
      <c r="L309" s="6"/>
      <c r="M309" s="6"/>
      <c r="N309" s="6"/>
      <c r="O309" s="6"/>
      <c r="P309" s="10" t="str">
        <f>IFERROR(__xludf.DUMMYFUNCTION("""COMPUTED_VALUE"""),"Andhita Dyah Luhung Pahesti,Ginanjar Rahmawan,,")</f>
        <v>Andhita Dyah Luhung Pahesti,Ginanjar Rahmawan,,</v>
      </c>
      <c r="Q309" s="11" t="str">
        <f>IFERROR(__xludf.DUMMYFUNCTION("""COMPUTED_VALUE"""),"https://www.jurnalintelektiva.com/index.php/jurnal/article/view/708")</f>
        <v>https://www.jurnalintelektiva.com/index.php/jurnal/article/view/708</v>
      </c>
      <c r="R309" s="6"/>
    </row>
    <row r="310">
      <c r="A310" s="5">
        <f>IFERROR(__xludf.DUMMYFUNCTION("""COMPUTED_VALUE"""),309.0)</f>
        <v>309</v>
      </c>
      <c r="B310" s="6" t="str">
        <f>IFERROR(__xludf.DUMMYFUNCTION("""COMPUTED_VALUE"""),"Faktor-Faktor Yang Mempengaruhi Keputusan Pembelian Sepeda Lipat Di Masa Pandemi")</f>
        <v>Faktor-Faktor Yang Mempengaruhi Keputusan Pembelian Sepeda Lipat Di Masa Pandemi</v>
      </c>
      <c r="C310" s="7">
        <f>IFERROR(__xludf.DUMMYFUNCTION("""COMPUTED_VALUE"""),2022.0)</f>
        <v>2022</v>
      </c>
      <c r="D310" s="8" t="str">
        <f>IFERROR(__xludf.DUMMYFUNCTION("""COMPUTED_VALUE"""),"2021/2022")</f>
        <v>2021/2022</v>
      </c>
      <c r="E310" s="9">
        <f>IFERROR(__xludf.DUMMYFUNCTION("""COMPUTED_VALUE"""),44615.0)</f>
        <v>44615</v>
      </c>
      <c r="F310" s="5" t="str">
        <f>IFERROR(__xludf.DUMMYFUNCTION("""COMPUTED_VALUE"""),"Ganjil")</f>
        <v>Ganjil</v>
      </c>
      <c r="G310" s="5" t="str">
        <f>IFERROR(__xludf.DUMMYFUNCTION("""COMPUTED_VALUE"""),"Manajemen")</f>
        <v>Manajemen</v>
      </c>
      <c r="H310" s="10" t="str">
        <f>IFERROR(__xludf.DUMMYFUNCTION("""COMPUTED_VALUE"""),"Mahasiswa")</f>
        <v>Mahasiswa</v>
      </c>
      <c r="I310" s="6" t="str">
        <f>IFERROR(__xludf.DUMMYFUNCTION("""COMPUTED_VALUE"""),"ANDHITA DYAH LUHUNG PAHESTI")</f>
        <v>ANDHITA DYAH LUHUNG PAHESTI</v>
      </c>
      <c r="J310" s="6" t="str">
        <f>IFERROR(__xludf.DUMMYFUNCTION("""COMPUTED_VALUE"""),"Ginanjar Rahmawan")</f>
        <v>Ginanjar Rahmawan</v>
      </c>
      <c r="K310" s="6"/>
      <c r="L310" s="6"/>
      <c r="M310" s="6"/>
      <c r="N310" s="6"/>
      <c r="O310" s="6"/>
      <c r="P310" s="10" t="str">
        <f>IFERROR(__xludf.DUMMYFUNCTION("""COMPUTED_VALUE"""),"ANDHITA DYAH LUHUNG PAHESTI,Ginanjar Rahmawan,,")</f>
        <v>ANDHITA DYAH LUHUNG PAHESTI,Ginanjar Rahmawan,,</v>
      </c>
      <c r="Q310" s="11" t="str">
        <f>IFERROR(__xludf.DUMMYFUNCTION("""COMPUTED_VALUE"""),"https://jurnalintelektiva.com/index.php/jurnal/article/view/708")</f>
        <v>https://jurnalintelektiva.com/index.php/jurnal/article/view/708</v>
      </c>
      <c r="R310" s="6"/>
    </row>
    <row r="311">
      <c r="A311" s="5">
        <f>IFERROR(__xludf.DUMMYFUNCTION("""COMPUTED_VALUE"""),310.0)</f>
        <v>310</v>
      </c>
      <c r="B311" s="6" t="str">
        <f>IFERROR(__xludf.DUMMYFUNCTION("""COMPUTED_VALUE"""),"Pengaruh Faktor Harga, Keamanan, Kemudahan, dan Kepercayaan Terhadap Perilaku Belanja Online Dimasa Pandemi Covid-19")</f>
        <v>Pengaruh Faktor Harga, Keamanan, Kemudahan, dan Kepercayaan Terhadap Perilaku Belanja Online Dimasa Pandemi Covid-19</v>
      </c>
      <c r="C311" s="7">
        <f>IFERROR(__xludf.DUMMYFUNCTION("""COMPUTED_VALUE"""),2022.0)</f>
        <v>2022</v>
      </c>
      <c r="D311" s="8" t="str">
        <f>IFERROR(__xludf.DUMMYFUNCTION("""COMPUTED_VALUE"""),"2021/2022")</f>
        <v>2021/2022</v>
      </c>
      <c r="E311" s="9">
        <f>IFERROR(__xludf.DUMMYFUNCTION("""COMPUTED_VALUE"""),44617.0)</f>
        <v>44617</v>
      </c>
      <c r="F311" s="5" t="str">
        <f>IFERROR(__xludf.DUMMYFUNCTION("""COMPUTED_VALUE"""),"Ganjil")</f>
        <v>Ganjil</v>
      </c>
      <c r="G311" s="5" t="str">
        <f>IFERROR(__xludf.DUMMYFUNCTION("""COMPUTED_VALUE"""),"Manajemen")</f>
        <v>Manajemen</v>
      </c>
      <c r="H311" s="10" t="str">
        <f>IFERROR(__xludf.DUMMYFUNCTION("""COMPUTED_VALUE"""),"Mahasiswa")</f>
        <v>Mahasiswa</v>
      </c>
      <c r="I311" s="6" t="str">
        <f>IFERROR(__xludf.DUMMYFUNCTION("""COMPUTED_VALUE"""),"Listia Puji Rahayu")</f>
        <v>Listia Puji Rahayu</v>
      </c>
      <c r="J311" s="6" t="str">
        <f>IFERROR(__xludf.DUMMYFUNCTION("""COMPUTED_VALUE"""),"Ari Susanti")</f>
        <v>Ari Susanti</v>
      </c>
      <c r="K311" s="6"/>
      <c r="L311" s="6"/>
      <c r="M311" s="6"/>
      <c r="N311" s="6"/>
      <c r="O311" s="6"/>
      <c r="P311" s="10" t="str">
        <f>IFERROR(__xludf.DUMMYFUNCTION("""COMPUTED_VALUE"""),"Listia Puji Rahayu,Ari Susanti,,")</f>
        <v>Listia Puji Rahayu,Ari Susanti,,</v>
      </c>
      <c r="Q311" s="11" t="str">
        <f>IFERROR(__xludf.DUMMYFUNCTION("""COMPUTED_VALUE"""),"https://ejurnal.seminar-id.com/index.php/ekuitas/article/view/1279")</f>
        <v>https://ejurnal.seminar-id.com/index.php/ekuitas/article/view/1279</v>
      </c>
      <c r="R311" s="6"/>
    </row>
    <row r="312">
      <c r="A312" s="5">
        <f>IFERROR(__xludf.DUMMYFUNCTION("""COMPUTED_VALUE"""),311.0)</f>
        <v>311</v>
      </c>
      <c r="B312" s="6" t="str">
        <f>IFERROR(__xludf.DUMMYFUNCTION("""COMPUTED_VALUE"""),"Pengaruh Citra Merk, Motivasi Dan Keputusan Pembelian Terhadap Kepuasan Konsumen Generasi Milenial Pada Marketplace (Studi Kasus Generasi Milenial Dalam Berbelanja Online)")</f>
        <v>Pengaruh Citra Merk, Motivasi Dan Keputusan Pembelian Terhadap Kepuasan Konsumen Generasi Milenial Pada Marketplace (Studi Kasus Generasi Milenial Dalam Berbelanja Online)</v>
      </c>
      <c r="C312" s="7">
        <f>IFERROR(__xludf.DUMMYFUNCTION("""COMPUTED_VALUE"""),2022.0)</f>
        <v>2022</v>
      </c>
      <c r="D312" s="8" t="str">
        <f>IFERROR(__xludf.DUMMYFUNCTION("""COMPUTED_VALUE"""),"2021/2022")</f>
        <v>2021/2022</v>
      </c>
      <c r="E312" s="9">
        <f>IFERROR(__xludf.DUMMYFUNCTION("""COMPUTED_VALUE"""),44617.0)</f>
        <v>44617</v>
      </c>
      <c r="F312" s="5" t="str">
        <f>IFERROR(__xludf.DUMMYFUNCTION("""COMPUTED_VALUE"""),"Ganjil")</f>
        <v>Ganjil</v>
      </c>
      <c r="G312" s="5" t="str">
        <f>IFERROR(__xludf.DUMMYFUNCTION("""COMPUTED_VALUE"""),"")</f>
        <v/>
      </c>
      <c r="H312" s="10" t="str">
        <f>IFERROR(__xludf.DUMMYFUNCTION("""COMPUTED_VALUE"""),"Dosen")</f>
        <v>Dosen</v>
      </c>
      <c r="I312" s="6" t="str">
        <f>IFERROR(__xludf.DUMMYFUNCTION("""COMPUTED_VALUE"""),"Nurul Giswi Karomah")</f>
        <v>Nurul Giswi Karomah</v>
      </c>
      <c r="J312" s="6" t="str">
        <f>IFERROR(__xludf.DUMMYFUNCTION("""COMPUTED_VALUE"""),"Ria Estiana")</f>
        <v>Ria Estiana</v>
      </c>
      <c r="K312" s="6" t="str">
        <f>IFERROR(__xludf.DUMMYFUNCTION("""COMPUTED_VALUE"""),"Rahmi Rosita")</f>
        <v>Rahmi Rosita</v>
      </c>
      <c r="L312" s="6" t="str">
        <f>IFERROR(__xludf.DUMMYFUNCTION("""COMPUTED_VALUE"""),"Ari Susanti")</f>
        <v>Ari Susanti</v>
      </c>
      <c r="M312" s="6"/>
      <c r="N312" s="6"/>
      <c r="O312" s="6"/>
      <c r="P312" s="10" t="str">
        <f>IFERROR(__xludf.DUMMYFUNCTION("""COMPUTED_VALUE"""),"Nurul Giswi Karomah,Ria Estiana,Rahmi Rosita,Ari Susanti")</f>
        <v>Nurul Giswi Karomah,Ria Estiana,Rahmi Rosita,Ari Susanti</v>
      </c>
      <c r="Q312" s="11" t="str">
        <f>IFERROR(__xludf.DUMMYFUNCTION("""COMPUTED_VALUE"""),"https://researchhub.id/index.php/jimek/article/view/263")</f>
        <v>https://researchhub.id/index.php/jimek/article/view/263</v>
      </c>
      <c r="R312" s="6"/>
    </row>
    <row r="313">
      <c r="A313" s="5">
        <f>IFERROR(__xludf.DUMMYFUNCTION("""COMPUTED_VALUE"""),312.0)</f>
        <v>312</v>
      </c>
      <c r="B313" s="6" t="str">
        <f>IFERROR(__xludf.DUMMYFUNCTION("""COMPUTED_VALUE"""),"Analisis Celebrity Endorsment, Persepsi Harga Dan Electronic
 Word Of Mouth Terhadap Minat Beli Pada Aplikasi Shopee")</f>
        <v>Analisis Celebrity Endorsment, Persepsi Harga Dan Electronic
 Word Of Mouth Terhadap Minat Beli Pada Aplikasi Shopee</v>
      </c>
      <c r="C313" s="7">
        <f>IFERROR(__xludf.DUMMYFUNCTION("""COMPUTED_VALUE"""),2022.0)</f>
        <v>2022</v>
      </c>
      <c r="D313" s="8" t="str">
        <f>IFERROR(__xludf.DUMMYFUNCTION("""COMPUTED_VALUE"""),"2021/2022")</f>
        <v>2021/2022</v>
      </c>
      <c r="E313" s="9">
        <f>IFERROR(__xludf.DUMMYFUNCTION("""COMPUTED_VALUE"""),44620.0)</f>
        <v>44620</v>
      </c>
      <c r="F313" s="5" t="str">
        <f>IFERROR(__xludf.DUMMYFUNCTION("""COMPUTED_VALUE"""),"Genap")</f>
        <v>Genap</v>
      </c>
      <c r="G313" s="5" t="str">
        <f>IFERROR(__xludf.DUMMYFUNCTION("""COMPUTED_VALUE"""),"Manajemen")</f>
        <v>Manajemen</v>
      </c>
      <c r="H313" s="10" t="str">
        <f>IFERROR(__xludf.DUMMYFUNCTION("""COMPUTED_VALUE"""),"Mahasiswa")</f>
        <v>Mahasiswa</v>
      </c>
      <c r="I313" s="6" t="str">
        <f>IFERROR(__xludf.DUMMYFUNCTION("""COMPUTED_VALUE"""),"Mutiara Sandesta")</f>
        <v>Mutiara Sandesta</v>
      </c>
      <c r="J313" s="6" t="str">
        <f>IFERROR(__xludf.DUMMYFUNCTION("""COMPUTED_VALUE"""),"Budi Istiyanto")</f>
        <v>Budi Istiyanto</v>
      </c>
      <c r="K313" s="6"/>
      <c r="L313" s="6"/>
      <c r="M313" s="6"/>
      <c r="N313" s="6"/>
      <c r="O313" s="6"/>
      <c r="P313" s="10" t="str">
        <f>IFERROR(__xludf.DUMMYFUNCTION("""COMPUTED_VALUE"""),"Mutiara Sandesta,Budi Istiyanto,,")</f>
        <v>Mutiara Sandesta,Budi Istiyanto,,</v>
      </c>
      <c r="Q313" s="11" t="str">
        <f>IFERROR(__xludf.DUMMYFUNCTION("""COMPUTED_VALUE"""),"https://jurnal.stie-aas.ac.id/index.php/jie/article/view/4645")</f>
        <v>https://jurnal.stie-aas.ac.id/index.php/jie/article/view/4645</v>
      </c>
      <c r="R313" s="6"/>
    </row>
    <row r="314">
      <c r="A314" s="5">
        <f>IFERROR(__xludf.DUMMYFUNCTION("""COMPUTED_VALUE"""),313.0)</f>
        <v>313</v>
      </c>
      <c r="B314" s="6" t="str">
        <f>IFERROR(__xludf.DUMMYFUNCTION("""COMPUTED_VALUE"""),"Analisis Celebrity Endorsment, Persepsi Harga Dan Electronic Word Of Mouth Terhadap Minat Beli Pada Aplikasi Shopee")</f>
        <v>Analisis Celebrity Endorsment, Persepsi Harga Dan Electronic Word Of Mouth Terhadap Minat Beli Pada Aplikasi Shopee</v>
      </c>
      <c r="C314" s="7">
        <f>IFERROR(__xludf.DUMMYFUNCTION("""COMPUTED_VALUE"""),2022.0)</f>
        <v>2022</v>
      </c>
      <c r="D314" s="8" t="str">
        <f>IFERROR(__xludf.DUMMYFUNCTION("""COMPUTED_VALUE"""),"2021/2022")</f>
        <v>2021/2022</v>
      </c>
      <c r="E314" s="9">
        <f>IFERROR(__xludf.DUMMYFUNCTION("""COMPUTED_VALUE"""),44620.0)</f>
        <v>44620</v>
      </c>
      <c r="F314" s="5" t="str">
        <f>IFERROR(__xludf.DUMMYFUNCTION("""COMPUTED_VALUE"""),"Genap")</f>
        <v>Genap</v>
      </c>
      <c r="G314" s="5" t="str">
        <f>IFERROR(__xludf.DUMMYFUNCTION("""COMPUTED_VALUE"""),"Manajemen")</f>
        <v>Manajemen</v>
      </c>
      <c r="H314" s="10" t="str">
        <f>IFERROR(__xludf.DUMMYFUNCTION("""COMPUTED_VALUE"""),"Mahasiswa")</f>
        <v>Mahasiswa</v>
      </c>
      <c r="I314" s="6" t="str">
        <f>IFERROR(__xludf.DUMMYFUNCTION("""COMPUTED_VALUE"""),"Mutiara Sandesta")</f>
        <v>Mutiara Sandesta</v>
      </c>
      <c r="J314" s="6" t="str">
        <f>IFERROR(__xludf.DUMMYFUNCTION("""COMPUTED_VALUE"""),"Budi Istiyanto")</f>
        <v>Budi Istiyanto</v>
      </c>
      <c r="K314" s="6"/>
      <c r="L314" s="6"/>
      <c r="M314" s="6"/>
      <c r="N314" s="6"/>
      <c r="O314" s="6"/>
      <c r="P314" s="10" t="str">
        <f>IFERROR(__xludf.DUMMYFUNCTION("""COMPUTED_VALUE"""),"Mutiara Sandesta,Budi Istiyanto,,")</f>
        <v>Mutiara Sandesta,Budi Istiyanto,,</v>
      </c>
      <c r="Q314" s="11" t="str">
        <f>IFERROR(__xludf.DUMMYFUNCTION("""COMPUTED_VALUE"""),"https://jurnal.stie-aas.ac.id/index.php/jie/article/view/4454")</f>
        <v>https://jurnal.stie-aas.ac.id/index.php/jie/article/view/4454</v>
      </c>
      <c r="R314" s="6"/>
    </row>
    <row r="315">
      <c r="A315" s="5">
        <f>IFERROR(__xludf.DUMMYFUNCTION("""COMPUTED_VALUE"""),314.0)</f>
        <v>314</v>
      </c>
      <c r="B315" s="6" t="str">
        <f>IFERROR(__xludf.DUMMYFUNCTION("""COMPUTED_VALUE"""),"Pengaruh E-Wom, Fasilitas, Daya Tarik Wisata, Dan Harga Terhadap Minat Berkunjung Taman Satwa Taru Jurug")</f>
        <v>Pengaruh E-Wom, Fasilitas, Daya Tarik Wisata, Dan Harga Terhadap Minat Berkunjung Taman Satwa Taru Jurug</v>
      </c>
      <c r="C315" s="7">
        <f>IFERROR(__xludf.DUMMYFUNCTION("""COMPUTED_VALUE"""),2022.0)</f>
        <v>2022</v>
      </c>
      <c r="D315" s="8" t="str">
        <f>IFERROR(__xludf.DUMMYFUNCTION("""COMPUTED_VALUE"""),"2021/2022")</f>
        <v>2021/2022</v>
      </c>
      <c r="E315" s="9">
        <f>IFERROR(__xludf.DUMMYFUNCTION("""COMPUTED_VALUE"""),44628.0)</f>
        <v>44628</v>
      </c>
      <c r="F315" s="5" t="str">
        <f>IFERROR(__xludf.DUMMYFUNCTION("""COMPUTED_VALUE"""),"Genap")</f>
        <v>Genap</v>
      </c>
      <c r="G315" s="5" t="str">
        <f>IFERROR(__xludf.DUMMYFUNCTION("""COMPUTED_VALUE"""),"Manajemen")</f>
        <v>Manajemen</v>
      </c>
      <c r="H315" s="10" t="str">
        <f>IFERROR(__xludf.DUMMYFUNCTION("""COMPUTED_VALUE"""),"Mahasiswa")</f>
        <v>Mahasiswa</v>
      </c>
      <c r="I315" s="6" t="str">
        <f>IFERROR(__xludf.DUMMYFUNCTION("""COMPUTED_VALUE"""),"Heny Setyowati")</f>
        <v>Heny Setyowati</v>
      </c>
      <c r="J315" s="6" t="str">
        <f>IFERROR(__xludf.DUMMYFUNCTION("""COMPUTED_VALUE"""),"Aditya Liliyan")</f>
        <v>Aditya Liliyan</v>
      </c>
      <c r="K315" s="6"/>
      <c r="L315" s="6"/>
      <c r="M315" s="6"/>
      <c r="N315" s="6"/>
      <c r="O315" s="6"/>
      <c r="P315" s="10" t="str">
        <f>IFERROR(__xludf.DUMMYFUNCTION("""COMPUTED_VALUE"""),"Heny Setyowati,Aditya Liliyan,,")</f>
        <v>Heny Setyowati,Aditya Liliyan,,</v>
      </c>
      <c r="Q315" s="11" t="str">
        <f>IFERROR(__xludf.DUMMYFUNCTION("""COMPUTED_VALUE"""),"https://ejournal.undiksha.ac.id/index.php/JMPP/article/view/44773")</f>
        <v>https://ejournal.undiksha.ac.id/index.php/JMPP/article/view/44773</v>
      </c>
      <c r="R315" s="6"/>
    </row>
    <row r="316">
      <c r="A316" s="5">
        <f>IFERROR(__xludf.DUMMYFUNCTION("""COMPUTED_VALUE"""),315.0)</f>
        <v>315</v>
      </c>
      <c r="B316" s="6" t="str">
        <f>IFERROR(__xludf.DUMMYFUNCTION("""COMPUTED_VALUE"""),"Analisis Keputusan Pembelian : Fenomena Masker dan Vitamin Di Masa Pandemi (Studi Pada Pharmacy Labs Di Kota Solo)")</f>
        <v>Analisis Keputusan Pembelian : Fenomena Masker dan Vitamin Di Masa Pandemi (Studi Pada Pharmacy Labs Di Kota Solo)</v>
      </c>
      <c r="C316" s="7">
        <f>IFERROR(__xludf.DUMMYFUNCTION("""COMPUTED_VALUE"""),2022.0)</f>
        <v>2022</v>
      </c>
      <c r="D316" s="8" t="str">
        <f>IFERROR(__xludf.DUMMYFUNCTION("""COMPUTED_VALUE"""),"2021/2022")</f>
        <v>2021/2022</v>
      </c>
      <c r="E316" s="9">
        <f>IFERROR(__xludf.DUMMYFUNCTION("""COMPUTED_VALUE"""),44629.0)</f>
        <v>44629</v>
      </c>
      <c r="F316" s="5" t="str">
        <f>IFERROR(__xludf.DUMMYFUNCTION("""COMPUTED_VALUE"""),"Genap")</f>
        <v>Genap</v>
      </c>
      <c r="G316" s="5" t="str">
        <f>IFERROR(__xludf.DUMMYFUNCTION("""COMPUTED_VALUE"""),"Manajemen")</f>
        <v>Manajemen</v>
      </c>
      <c r="H316" s="10" t="str">
        <f>IFERROR(__xludf.DUMMYFUNCTION("""COMPUTED_VALUE"""),"Mahasiswa")</f>
        <v>Mahasiswa</v>
      </c>
      <c r="I316" s="6" t="str">
        <f>IFERROR(__xludf.DUMMYFUNCTION("""COMPUTED_VALUE"""),"Rizka Ambar Sari")</f>
        <v>Rizka Ambar Sari</v>
      </c>
      <c r="J316" s="6" t="str">
        <f>IFERROR(__xludf.DUMMYFUNCTION("""COMPUTED_VALUE"""),"Ari Susanti")</f>
        <v>Ari Susanti</v>
      </c>
      <c r="K316" s="6"/>
      <c r="L316" s="6"/>
      <c r="M316" s="6"/>
      <c r="N316" s="6"/>
      <c r="O316" s="6"/>
      <c r="P316" s="10" t="str">
        <f>IFERROR(__xludf.DUMMYFUNCTION("""COMPUTED_VALUE"""),"Rizka Ambar Sari,Ari Susanti,,")</f>
        <v>Rizka Ambar Sari,Ari Susanti,,</v>
      </c>
      <c r="Q316" s="11" t="str">
        <f>IFERROR(__xludf.DUMMYFUNCTION("""COMPUTED_VALUE"""),"https://ejurnal.undana.ac.id/index.php/JEM/article/view/6552")</f>
        <v>https://ejurnal.undana.ac.id/index.php/JEM/article/view/6552</v>
      </c>
      <c r="R316" s="6"/>
    </row>
    <row r="317">
      <c r="A317" s="5">
        <f>IFERROR(__xludf.DUMMYFUNCTION("""COMPUTED_VALUE"""),316.0)</f>
        <v>316</v>
      </c>
      <c r="B317" s="6" t="str">
        <f>IFERROR(__xludf.DUMMYFUNCTION("""COMPUTED_VALUE"""),"Telaah Kinerja Keuangan Usaha Kuliner Di Surakarta")</f>
        <v>Telaah Kinerja Keuangan Usaha Kuliner Di Surakarta</v>
      </c>
      <c r="C317" s="7">
        <f>IFERROR(__xludf.DUMMYFUNCTION("""COMPUTED_VALUE"""),2022.0)</f>
        <v>2022</v>
      </c>
      <c r="D317" s="8" t="str">
        <f>IFERROR(__xludf.DUMMYFUNCTION("""COMPUTED_VALUE"""),"2021/2022")</f>
        <v>2021/2022</v>
      </c>
      <c r="E317" s="9">
        <f>IFERROR(__xludf.DUMMYFUNCTION("""COMPUTED_VALUE"""),44629.0)</f>
        <v>44629</v>
      </c>
      <c r="F317" s="5" t="str">
        <f>IFERROR(__xludf.DUMMYFUNCTION("""COMPUTED_VALUE"""),"Genap")</f>
        <v>Genap</v>
      </c>
      <c r="G317" s="5" t="str">
        <f>IFERROR(__xludf.DUMMYFUNCTION("""COMPUTED_VALUE"""),"Akuntansi")</f>
        <v>Akuntansi</v>
      </c>
      <c r="H317" s="10" t="str">
        <f>IFERROR(__xludf.DUMMYFUNCTION("""COMPUTED_VALUE"""),"Mahasiswa")</f>
        <v>Mahasiswa</v>
      </c>
      <c r="I317" s="6" t="str">
        <f>IFERROR(__xludf.DUMMYFUNCTION("""COMPUTED_VALUE"""),"Sekar Jiwandari")</f>
        <v>Sekar Jiwandari</v>
      </c>
      <c r="J317" s="6" t="str">
        <f>IFERROR(__xludf.DUMMYFUNCTION("""COMPUTED_VALUE"""),"Pardi")</f>
        <v>Pardi</v>
      </c>
      <c r="K317" s="6"/>
      <c r="L317" s="6"/>
      <c r="M317" s="6"/>
      <c r="N317" s="6"/>
      <c r="O317" s="6"/>
      <c r="P317" s="10" t="str">
        <f>IFERROR(__xludf.DUMMYFUNCTION("""COMPUTED_VALUE"""),"Sekar Jiwandari,Pardi,,")</f>
        <v>Sekar Jiwandari,Pardi,,</v>
      </c>
      <c r="Q317" s="11" t="str">
        <f>IFERROR(__xludf.DUMMYFUNCTION("""COMPUTED_VALUE"""),"https://bajangjournal.com/index.php/Juremi/article/view/1685")</f>
        <v>https://bajangjournal.com/index.php/Juremi/article/view/1685</v>
      </c>
      <c r="R317" s="6"/>
    </row>
    <row r="318">
      <c r="A318" s="5">
        <f>IFERROR(__xludf.DUMMYFUNCTION("""COMPUTED_VALUE"""),317.0)</f>
        <v>317</v>
      </c>
      <c r="B318" s="6" t="str">
        <f>IFERROR(__xludf.DUMMYFUNCTION("""COMPUTED_VALUE"""),"Studi Pengaruh Kepatuhan Wajib Pajak Di Sukoharjo")</f>
        <v>Studi Pengaruh Kepatuhan Wajib Pajak Di Sukoharjo</v>
      </c>
      <c r="C318" s="7">
        <f>IFERROR(__xludf.DUMMYFUNCTION("""COMPUTED_VALUE"""),2022.0)</f>
        <v>2022</v>
      </c>
      <c r="D318" s="8" t="str">
        <f>IFERROR(__xludf.DUMMYFUNCTION("""COMPUTED_VALUE"""),"2021/2022")</f>
        <v>2021/2022</v>
      </c>
      <c r="E318" s="9">
        <f>IFERROR(__xludf.DUMMYFUNCTION("""COMPUTED_VALUE"""),44629.0)</f>
        <v>44629</v>
      </c>
      <c r="F318" s="5" t="str">
        <f>IFERROR(__xludf.DUMMYFUNCTION("""COMPUTED_VALUE"""),"Genap")</f>
        <v>Genap</v>
      </c>
      <c r="G318" s="5" t="str">
        <f>IFERROR(__xludf.DUMMYFUNCTION("""COMPUTED_VALUE"""),"Akuntansi")</f>
        <v>Akuntansi</v>
      </c>
      <c r="H318" s="10" t="str">
        <f>IFERROR(__xludf.DUMMYFUNCTION("""COMPUTED_VALUE"""),"Mahasiswa")</f>
        <v>Mahasiswa</v>
      </c>
      <c r="I318" s="6" t="str">
        <f>IFERROR(__xludf.DUMMYFUNCTION("""COMPUTED_VALUE"""),"Fitria Ayu Setyaningsih")</f>
        <v>Fitria Ayu Setyaningsih</v>
      </c>
      <c r="J318" s="6" t="str">
        <f>IFERROR(__xludf.DUMMYFUNCTION("""COMPUTED_VALUE"""),"Arif Nugroho Rachman")</f>
        <v>Arif Nugroho Rachman</v>
      </c>
      <c r="K318" s="6"/>
      <c r="L318" s="6"/>
      <c r="M318" s="6"/>
      <c r="N318" s="6"/>
      <c r="O318" s="6"/>
      <c r="P318" s="10" t="str">
        <f>IFERROR(__xludf.DUMMYFUNCTION("""COMPUTED_VALUE"""),"Fitria Ayu Setyaningsih,Arif Nugroho Rachman,,")</f>
        <v>Fitria Ayu Setyaningsih,Arif Nugroho Rachman,,</v>
      </c>
      <c r="Q318" s="11" t="str">
        <f>IFERROR(__xludf.DUMMYFUNCTION("""COMPUTED_VALUE"""),"https://bajangjournal.com/index.php/Juremi/article/view/1336")</f>
        <v>https://bajangjournal.com/index.php/Juremi/article/view/1336</v>
      </c>
      <c r="R318" s="6"/>
    </row>
    <row r="319">
      <c r="A319" s="5">
        <f>IFERROR(__xludf.DUMMYFUNCTION("""COMPUTED_VALUE"""),318.0)</f>
        <v>318</v>
      </c>
      <c r="B319" s="6" t="str">
        <f>IFERROR(__xludf.DUMMYFUNCTION("""COMPUTED_VALUE"""),"Pengaruh Leverage, Kepemilikan Intitusional, Karakter Eksekutif, Dan Ukuran Perusahaan Terhadap Tax Avoidance")</f>
        <v>Pengaruh Leverage, Kepemilikan Intitusional, Karakter Eksekutif, Dan Ukuran Perusahaan Terhadap Tax Avoidance</v>
      </c>
      <c r="C319" s="7">
        <f>IFERROR(__xludf.DUMMYFUNCTION("""COMPUTED_VALUE"""),2022.0)</f>
        <v>2022</v>
      </c>
      <c r="D319" s="8" t="str">
        <f>IFERROR(__xludf.DUMMYFUNCTION("""COMPUTED_VALUE"""),"2021/2022")</f>
        <v>2021/2022</v>
      </c>
      <c r="E319" s="9">
        <f>IFERROR(__xludf.DUMMYFUNCTION("""COMPUTED_VALUE"""),44629.0)</f>
        <v>44629</v>
      </c>
      <c r="F319" s="5" t="str">
        <f>IFERROR(__xludf.DUMMYFUNCTION("""COMPUTED_VALUE"""),"Genap")</f>
        <v>Genap</v>
      </c>
      <c r="G319" s="5" t="str">
        <f>IFERROR(__xludf.DUMMYFUNCTION("""COMPUTED_VALUE"""),"Akuntansi")</f>
        <v>Akuntansi</v>
      </c>
      <c r="H319" s="10" t="str">
        <f>IFERROR(__xludf.DUMMYFUNCTION("""COMPUTED_VALUE"""),"Mahasiswa")</f>
        <v>Mahasiswa</v>
      </c>
      <c r="I319" s="6" t="str">
        <f>IFERROR(__xludf.DUMMYFUNCTION("""COMPUTED_VALUE"""),"Erlina Sandya Prabawati")</f>
        <v>Erlina Sandya Prabawati</v>
      </c>
      <c r="J319" s="6" t="str">
        <f>IFERROR(__xludf.DUMMYFUNCTION("""COMPUTED_VALUE"""),"Arif Nugroho Rachman")</f>
        <v>Arif Nugroho Rachman</v>
      </c>
      <c r="K319" s="6"/>
      <c r="L319" s="6"/>
      <c r="M319" s="6"/>
      <c r="N319" s="6"/>
      <c r="O319" s="6"/>
      <c r="P319" s="10" t="str">
        <f>IFERROR(__xludf.DUMMYFUNCTION("""COMPUTED_VALUE"""),"Erlina Sandya Prabawati,Arif Nugroho Rachman,,")</f>
        <v>Erlina Sandya Prabawati,Arif Nugroho Rachman,,</v>
      </c>
      <c r="Q319" s="11" t="str">
        <f>IFERROR(__xludf.DUMMYFUNCTION("""COMPUTED_VALUE"""),"https://www.bajangjournal.com/index.php/Juremi/article/view/1680")</f>
        <v>https://www.bajangjournal.com/index.php/Juremi/article/view/1680</v>
      </c>
      <c r="R319" s="6"/>
    </row>
    <row r="320">
      <c r="A320" s="5">
        <f>IFERROR(__xludf.DUMMYFUNCTION("""COMPUTED_VALUE"""),319.0)</f>
        <v>319</v>
      </c>
      <c r="B320" s="6" t="str">
        <f>IFERROR(__xludf.DUMMYFUNCTION("""COMPUTED_VALUE"""),"Analisis Determinasi Terhadap Kinerja Karyawan Coffee Shop Di Kota Surakarta")</f>
        <v>Analisis Determinasi Terhadap Kinerja Karyawan Coffee Shop Di Kota Surakarta</v>
      </c>
      <c r="C320" s="7">
        <f>IFERROR(__xludf.DUMMYFUNCTION("""COMPUTED_VALUE"""),2022.0)</f>
        <v>2022</v>
      </c>
      <c r="D320" s="8" t="str">
        <f>IFERROR(__xludf.DUMMYFUNCTION("""COMPUTED_VALUE"""),"2021/2022")</f>
        <v>2021/2022</v>
      </c>
      <c r="E320" s="9">
        <f>IFERROR(__xludf.DUMMYFUNCTION("""COMPUTED_VALUE"""),44629.0)</f>
        <v>44629</v>
      </c>
      <c r="F320" s="5" t="str">
        <f>IFERROR(__xludf.DUMMYFUNCTION("""COMPUTED_VALUE"""),"Genap")</f>
        <v>Genap</v>
      </c>
      <c r="G320" s="5" t="str">
        <f>IFERROR(__xludf.DUMMYFUNCTION("""COMPUTED_VALUE"""),"Akuntansi")</f>
        <v>Akuntansi</v>
      </c>
      <c r="H320" s="10" t="str">
        <f>IFERROR(__xludf.DUMMYFUNCTION("""COMPUTED_VALUE"""),"Mahasiswa")</f>
        <v>Mahasiswa</v>
      </c>
      <c r="I320" s="6" t="str">
        <f>IFERROR(__xludf.DUMMYFUNCTION("""COMPUTED_VALUE"""),"Pungky Herlianti")</f>
        <v>Pungky Herlianti</v>
      </c>
      <c r="J320" s="6" t="str">
        <f>IFERROR(__xludf.DUMMYFUNCTION("""COMPUTED_VALUE"""),"Arif Nugroho Rachman")</f>
        <v>Arif Nugroho Rachman</v>
      </c>
      <c r="K320" s="6"/>
      <c r="L320" s="6"/>
      <c r="M320" s="6"/>
      <c r="N320" s="6"/>
      <c r="O320" s="6"/>
      <c r="P320" s="10" t="str">
        <f>IFERROR(__xludf.DUMMYFUNCTION("""COMPUTED_VALUE"""),"Pungky Herlianti,Arif Nugroho Rachman,,")</f>
        <v>Pungky Herlianti,Arif Nugroho Rachman,,</v>
      </c>
      <c r="Q320" s="11" t="str">
        <f>IFERROR(__xludf.DUMMYFUNCTION("""COMPUTED_VALUE"""),"https://bajangjournal.com/index.php/Juremi/article/view/1681")</f>
        <v>https://bajangjournal.com/index.php/Juremi/article/view/1681</v>
      </c>
      <c r="R320" s="6"/>
    </row>
    <row r="321">
      <c r="A321" s="5">
        <f>IFERROR(__xludf.DUMMYFUNCTION("""COMPUTED_VALUE"""),320.0)</f>
        <v>320</v>
      </c>
      <c r="B321" s="6" t="str">
        <f>IFERROR(__xludf.DUMMYFUNCTION("""COMPUTED_VALUE"""),"KINERJA KARYAWAN CV RAJAWALI INTI SUKSES DIMASA NEW NORMAL")</f>
        <v>KINERJA KARYAWAN CV RAJAWALI INTI SUKSES DIMASA NEW NORMAL</v>
      </c>
      <c r="C321" s="7">
        <f>IFERROR(__xludf.DUMMYFUNCTION("""COMPUTED_VALUE"""),2022.0)</f>
        <v>2022</v>
      </c>
      <c r="D321" s="8" t="str">
        <f>IFERROR(__xludf.DUMMYFUNCTION("""COMPUTED_VALUE"""),"2021/2022")</f>
        <v>2021/2022</v>
      </c>
      <c r="E321" s="9">
        <f>IFERROR(__xludf.DUMMYFUNCTION("""COMPUTED_VALUE"""),44632.0)</f>
        <v>44632</v>
      </c>
      <c r="F321" s="5" t="str">
        <f>IFERROR(__xludf.DUMMYFUNCTION("""COMPUTED_VALUE"""),"Genap")</f>
        <v>Genap</v>
      </c>
      <c r="G321" s="5" t="str">
        <f>IFERROR(__xludf.DUMMYFUNCTION("""COMPUTED_VALUE"""),"Akuntansi")</f>
        <v>Akuntansi</v>
      </c>
      <c r="H321" s="10" t="str">
        <f>IFERROR(__xludf.DUMMYFUNCTION("""COMPUTED_VALUE"""),"Mahasiswa")</f>
        <v>Mahasiswa</v>
      </c>
      <c r="I321" s="6" t="str">
        <f>IFERROR(__xludf.DUMMYFUNCTION("""COMPUTED_VALUE"""),"Fatimah zahro ijabi")</f>
        <v>Fatimah zahro ijabi</v>
      </c>
      <c r="J321" s="6" t="str">
        <f>IFERROR(__xludf.DUMMYFUNCTION("""COMPUTED_VALUE"""),"Pardi")</f>
        <v>Pardi</v>
      </c>
      <c r="K321" s="6"/>
      <c r="L321" s="6"/>
      <c r="M321" s="6"/>
      <c r="N321" s="6"/>
      <c r="O321" s="6"/>
      <c r="P321" s="10" t="str">
        <f>IFERROR(__xludf.DUMMYFUNCTION("""COMPUTED_VALUE"""),"Fatimah zahro ijabi,Pardi,,")</f>
        <v>Fatimah zahro ijabi,Pardi,,</v>
      </c>
      <c r="Q321" s="11" t="str">
        <f>IFERROR(__xludf.DUMMYFUNCTION("""COMPUTED_VALUE"""),"https://bajangjournal.com/index.php/Juremi/article/view/1696")</f>
        <v>https://bajangjournal.com/index.php/Juremi/article/view/1696</v>
      </c>
      <c r="R321" s="6"/>
    </row>
    <row r="322">
      <c r="A322" s="5">
        <f>IFERROR(__xludf.DUMMYFUNCTION("""COMPUTED_VALUE"""),321.0)</f>
        <v>321</v>
      </c>
      <c r="B322" s="6" t="str">
        <f>IFERROR(__xludf.DUMMYFUNCTION("""COMPUTED_VALUE"""),"Indeks Saham Syariah Indonesia Saat Pandemi Covid’19")</f>
        <v>Indeks Saham Syariah Indonesia Saat Pandemi Covid’19</v>
      </c>
      <c r="C322" s="7">
        <f>IFERROR(__xludf.DUMMYFUNCTION("""COMPUTED_VALUE"""),2022.0)</f>
        <v>2022</v>
      </c>
      <c r="D322" s="8" t="str">
        <f>IFERROR(__xludf.DUMMYFUNCTION("""COMPUTED_VALUE"""),"2021/2022")</f>
        <v>2021/2022</v>
      </c>
      <c r="E322" s="9">
        <f>IFERROR(__xludf.DUMMYFUNCTION("""COMPUTED_VALUE"""),44632.0)</f>
        <v>44632</v>
      </c>
      <c r="F322" s="5" t="str">
        <f>IFERROR(__xludf.DUMMYFUNCTION("""COMPUTED_VALUE"""),"Genap")</f>
        <v>Genap</v>
      </c>
      <c r="G322" s="5" t="str">
        <f>IFERROR(__xludf.DUMMYFUNCTION("""COMPUTED_VALUE"""),"Akuntansi")</f>
        <v>Akuntansi</v>
      </c>
      <c r="H322" s="10" t="str">
        <f>IFERROR(__xludf.DUMMYFUNCTION("""COMPUTED_VALUE"""),"Mahasiswa")</f>
        <v>Mahasiswa</v>
      </c>
      <c r="I322" s="6" t="str">
        <f>IFERROR(__xludf.DUMMYFUNCTION("""COMPUTED_VALUE"""),"Nurokhmawati")</f>
        <v>Nurokhmawati</v>
      </c>
      <c r="J322" s="6" t="str">
        <f>IFERROR(__xludf.DUMMYFUNCTION("""COMPUTED_VALUE"""),"Pardi")</f>
        <v>Pardi</v>
      </c>
      <c r="K322" s="6"/>
      <c r="L322" s="6"/>
      <c r="M322" s="6"/>
      <c r="N322" s="6"/>
      <c r="O322" s="6"/>
      <c r="P322" s="10" t="str">
        <f>IFERROR(__xludf.DUMMYFUNCTION("""COMPUTED_VALUE"""),"Nurokhmawati,Pardi,,")</f>
        <v>Nurokhmawati,Pardi,,</v>
      </c>
      <c r="Q322" s="11" t="str">
        <f>IFERROR(__xludf.DUMMYFUNCTION("""COMPUTED_VALUE"""),"https://jurnal.stie-aas.ac.id/index.php/jei/article/view/3623")</f>
        <v>https://jurnal.stie-aas.ac.id/index.php/jei/article/view/3623</v>
      </c>
      <c r="R322" s="6"/>
    </row>
    <row r="323">
      <c r="A323" s="5">
        <f>IFERROR(__xludf.DUMMYFUNCTION("""COMPUTED_VALUE"""),322.0)</f>
        <v>322</v>
      </c>
      <c r="B323" s="6" t="str">
        <f>IFERROR(__xludf.DUMMYFUNCTION("""COMPUTED_VALUE"""),"Pengaruh Kualitas Layanan, Citra Merek, Word Of Mouth Dan Promosi Terhadap Loyalitas Pelanggan")</f>
        <v>Pengaruh Kualitas Layanan, Citra Merek, Word Of Mouth Dan Promosi Terhadap Loyalitas Pelanggan</v>
      </c>
      <c r="C323" s="7">
        <f>IFERROR(__xludf.DUMMYFUNCTION("""COMPUTED_VALUE"""),2022.0)</f>
        <v>2022</v>
      </c>
      <c r="D323" s="8" t="str">
        <f>IFERROR(__xludf.DUMMYFUNCTION("""COMPUTED_VALUE"""),"2021/2022")</f>
        <v>2021/2022</v>
      </c>
      <c r="E323" s="9">
        <f>IFERROR(__xludf.DUMMYFUNCTION("""COMPUTED_VALUE"""),44632.0)</f>
        <v>44632</v>
      </c>
      <c r="F323" s="5" t="str">
        <f>IFERROR(__xludf.DUMMYFUNCTION("""COMPUTED_VALUE"""),"Genap")</f>
        <v>Genap</v>
      </c>
      <c r="G323" s="5" t="str">
        <f>IFERROR(__xludf.DUMMYFUNCTION("""COMPUTED_VALUE"""),"Manajemen")</f>
        <v>Manajemen</v>
      </c>
      <c r="H323" s="10" t="str">
        <f>IFERROR(__xludf.DUMMYFUNCTION("""COMPUTED_VALUE"""),"Mahasiswa")</f>
        <v>Mahasiswa</v>
      </c>
      <c r="I323" s="6" t="str">
        <f>IFERROR(__xludf.DUMMYFUNCTION("""COMPUTED_VALUE"""),"Apriliana Dewi Astianita")</f>
        <v>Apriliana Dewi Astianita</v>
      </c>
      <c r="J323" s="6" t="str">
        <f>IFERROR(__xludf.DUMMYFUNCTION("""COMPUTED_VALUE"""),"Atik Lusia")</f>
        <v>Atik Lusia</v>
      </c>
      <c r="K323" s="6"/>
      <c r="L323" s="6"/>
      <c r="M323" s="6"/>
      <c r="N323" s="6"/>
      <c r="O323" s="6"/>
      <c r="P323" s="10" t="str">
        <f>IFERROR(__xludf.DUMMYFUNCTION("""COMPUTED_VALUE"""),"Apriliana Dewi Astianita,Atik Lusia,,")</f>
        <v>Apriliana Dewi Astianita,Atik Lusia,,</v>
      </c>
      <c r="Q323" s="11" t="str">
        <f>IFERROR(__xludf.DUMMYFUNCTION("""COMPUTED_VALUE"""),"https://jist.publikasiindonesia.id/index.php/jist/article/view/382")</f>
        <v>https://jist.publikasiindonesia.id/index.php/jist/article/view/382</v>
      </c>
      <c r="R323" s="6"/>
    </row>
    <row r="324">
      <c r="A324" s="5">
        <f>IFERROR(__xludf.DUMMYFUNCTION("""COMPUTED_VALUE"""),323.0)</f>
        <v>323</v>
      </c>
      <c r="B324" s="6" t="str">
        <f>IFERROR(__xludf.DUMMYFUNCTION("""COMPUTED_VALUE"""),"Analisis faktor-faktor yang mempengaruhi minat berinvetasi generasi milenial di Surakarta")</f>
        <v>Analisis faktor-faktor yang mempengaruhi minat berinvetasi generasi milenial di Surakarta</v>
      </c>
      <c r="C324" s="7">
        <f>IFERROR(__xludf.DUMMYFUNCTION("""COMPUTED_VALUE"""),2022.0)</f>
        <v>2022</v>
      </c>
      <c r="D324" s="8" t="str">
        <f>IFERROR(__xludf.DUMMYFUNCTION("""COMPUTED_VALUE"""),"2021/2022")</f>
        <v>2021/2022</v>
      </c>
      <c r="E324" s="9">
        <f>IFERROR(__xludf.DUMMYFUNCTION("""COMPUTED_VALUE"""),44634.0)</f>
        <v>44634</v>
      </c>
      <c r="F324" s="5" t="str">
        <f>IFERROR(__xludf.DUMMYFUNCTION("""COMPUTED_VALUE"""),"Genap")</f>
        <v>Genap</v>
      </c>
      <c r="G324" s="5" t="str">
        <f>IFERROR(__xludf.DUMMYFUNCTION("""COMPUTED_VALUE"""),"Manajemen")</f>
        <v>Manajemen</v>
      </c>
      <c r="H324" s="10" t="str">
        <f>IFERROR(__xludf.DUMMYFUNCTION("""COMPUTED_VALUE"""),"Mahasiswa")</f>
        <v>Mahasiswa</v>
      </c>
      <c r="I324" s="6" t="str">
        <f>IFERROR(__xludf.DUMMYFUNCTION("""COMPUTED_VALUE"""),"Intansia Asari")</f>
        <v>Intansia Asari</v>
      </c>
      <c r="J324" s="6" t="str">
        <f>IFERROR(__xludf.DUMMYFUNCTION("""COMPUTED_VALUE"""),"Heny Kurnianingsih")</f>
        <v>Heny Kurnianingsih</v>
      </c>
      <c r="K324" s="6"/>
      <c r="L324" s="6"/>
      <c r="M324" s="6"/>
      <c r="N324" s="6"/>
      <c r="O324" s="6"/>
      <c r="P324" s="10" t="str">
        <f>IFERROR(__xludf.DUMMYFUNCTION("""COMPUTED_VALUE"""),"Intansia Asari,Heny Kurnianingsih,,")</f>
        <v>Intansia Asari,Heny Kurnianingsih,,</v>
      </c>
      <c r="Q324" s="11" t="str">
        <f>IFERROR(__xludf.DUMMYFUNCTION("""COMPUTED_VALUE"""),"https://jurnal.unismuhpalu.ac.id/index.php/JSM/article/view/2327")</f>
        <v>https://jurnal.unismuhpalu.ac.id/index.php/JSM/article/view/2327</v>
      </c>
      <c r="R324" s="6"/>
    </row>
    <row r="325">
      <c r="A325" s="5">
        <f>IFERROR(__xludf.DUMMYFUNCTION("""COMPUTED_VALUE"""),324.0)</f>
        <v>324</v>
      </c>
      <c r="B325" s="6" t="str">
        <f>IFERROR(__xludf.DUMMYFUNCTION("""COMPUTED_VALUE"""),"Kualitas Pelayanan, Kualitas Produk, Harga dan Brand Image Terhadap Kepuasan Pelanggan Minuman Noni Juice Boyolali Saat Pandemi")</f>
        <v>Kualitas Pelayanan, Kualitas Produk, Harga dan Brand Image Terhadap Kepuasan Pelanggan Minuman Noni Juice Boyolali Saat Pandemi</v>
      </c>
      <c r="C325" s="7">
        <f>IFERROR(__xludf.DUMMYFUNCTION("""COMPUTED_VALUE"""),2022.0)</f>
        <v>2022</v>
      </c>
      <c r="D325" s="8" t="str">
        <f>IFERROR(__xludf.DUMMYFUNCTION("""COMPUTED_VALUE"""),"2021/2022")</f>
        <v>2021/2022</v>
      </c>
      <c r="E325" s="9">
        <f>IFERROR(__xludf.DUMMYFUNCTION("""COMPUTED_VALUE"""),44634.0)</f>
        <v>44634</v>
      </c>
      <c r="F325" s="5" t="str">
        <f>IFERROR(__xludf.DUMMYFUNCTION("""COMPUTED_VALUE"""),"Genap")</f>
        <v>Genap</v>
      </c>
      <c r="G325" s="5" t="str">
        <f>IFERROR(__xludf.DUMMYFUNCTION("""COMPUTED_VALUE"""),"Manajemen")</f>
        <v>Manajemen</v>
      </c>
      <c r="H325" s="10" t="str">
        <f>IFERROR(__xludf.DUMMYFUNCTION("""COMPUTED_VALUE"""),"Mahasiswa")</f>
        <v>Mahasiswa</v>
      </c>
      <c r="I325" s="6" t="str">
        <f>IFERROR(__xludf.DUMMYFUNCTION("""COMPUTED_VALUE"""),"Hasna Al Aliyah")</f>
        <v>Hasna Al Aliyah</v>
      </c>
      <c r="J325" s="6" t="str">
        <f>IFERROR(__xludf.DUMMYFUNCTION("""COMPUTED_VALUE"""),"Budi Istiyanto")</f>
        <v>Budi Istiyanto</v>
      </c>
      <c r="K325" s="6"/>
      <c r="L325" s="6"/>
      <c r="M325" s="6"/>
      <c r="N325" s="6"/>
      <c r="O325" s="6"/>
      <c r="P325" s="10" t="str">
        <f>IFERROR(__xludf.DUMMYFUNCTION("""COMPUTED_VALUE"""),"Hasna Al Aliyah,Budi Istiyanto,,")</f>
        <v>Hasna Al Aliyah,Budi Istiyanto,,</v>
      </c>
      <c r="Q325" s="11" t="str">
        <f>IFERROR(__xludf.DUMMYFUNCTION("""COMPUTED_VALUE"""),"https://jurnal.unismuhpalu.ac.id/index.php/JSM/article/view/2333")</f>
        <v>https://jurnal.unismuhpalu.ac.id/index.php/JSM/article/view/2333</v>
      </c>
      <c r="R325" s="6"/>
    </row>
    <row r="326">
      <c r="A326" s="5">
        <f>IFERROR(__xludf.DUMMYFUNCTION("""COMPUTED_VALUE"""),325.0)</f>
        <v>325</v>
      </c>
      <c r="B326" s="6" t="str">
        <f>IFERROR(__xludf.DUMMYFUNCTION("""COMPUTED_VALUE"""),"Peran Brand Ambassador, Brand Image, Dan Harga Terhadap Minat Beli Konsumen ( Studi Kasus Co-branding Samsung X Bts )")</f>
        <v>Peran Brand Ambassador, Brand Image, Dan Harga Terhadap Minat Beli Konsumen ( Studi Kasus Co-branding Samsung X Bts )</v>
      </c>
      <c r="C326" s="7">
        <f>IFERROR(__xludf.DUMMYFUNCTION("""COMPUTED_VALUE"""),2022.0)</f>
        <v>2022</v>
      </c>
      <c r="D326" s="8" t="str">
        <f>IFERROR(__xludf.DUMMYFUNCTION("""COMPUTED_VALUE"""),"2021/2022")</f>
        <v>2021/2022</v>
      </c>
      <c r="E326" s="9">
        <f>IFERROR(__xludf.DUMMYFUNCTION("""COMPUTED_VALUE"""),44634.0)</f>
        <v>44634</v>
      </c>
      <c r="F326" s="5" t="str">
        <f>IFERROR(__xludf.DUMMYFUNCTION("""COMPUTED_VALUE"""),"Genap")</f>
        <v>Genap</v>
      </c>
      <c r="G326" s="5" t="str">
        <f>IFERROR(__xludf.DUMMYFUNCTION("""COMPUTED_VALUE"""),"Manajemen")</f>
        <v>Manajemen</v>
      </c>
      <c r="H326" s="10" t="str">
        <f>IFERROR(__xludf.DUMMYFUNCTION("""COMPUTED_VALUE"""),"Mahasiswa")</f>
        <v>Mahasiswa</v>
      </c>
      <c r="I326" s="6" t="str">
        <f>IFERROR(__xludf.DUMMYFUNCTION("""COMPUTED_VALUE"""),"Agnes Arum Kusumawardani")</f>
        <v>Agnes Arum Kusumawardani</v>
      </c>
      <c r="J326" s="6" t="str">
        <f>IFERROR(__xludf.DUMMYFUNCTION("""COMPUTED_VALUE"""),"Budi Istiyanto")</f>
        <v>Budi Istiyanto</v>
      </c>
      <c r="K326" s="6"/>
      <c r="L326" s="6"/>
      <c r="M326" s="6"/>
      <c r="N326" s="6"/>
      <c r="O326" s="6"/>
      <c r="P326" s="10" t="str">
        <f>IFERROR(__xludf.DUMMYFUNCTION("""COMPUTED_VALUE"""),"Agnes Arum Kusumawardani,Budi Istiyanto,,")</f>
        <v>Agnes Arum Kusumawardani,Budi Istiyanto,,</v>
      </c>
      <c r="Q326" s="11" t="str">
        <f>IFERROR(__xludf.DUMMYFUNCTION("""COMPUTED_VALUE"""),"https://jurnal.stie-aas.ac.id/index.php/jie/article/view/4645")</f>
        <v>https://jurnal.stie-aas.ac.id/index.php/jie/article/view/4645</v>
      </c>
      <c r="R326" s="6"/>
    </row>
    <row r="327">
      <c r="A327" s="5">
        <f>IFERROR(__xludf.DUMMYFUNCTION("""COMPUTED_VALUE"""),326.0)</f>
        <v>326</v>
      </c>
      <c r="B327" s="6" t="str">
        <f>IFERROR(__xludf.DUMMYFUNCTION("""COMPUTED_VALUE"""),"Pengaruh Citra Merek, Promosi, Harga, Dan Kualitas Pelayanan Terhadap Keputusan Pembelian (Pengguna Aplikasi Shopee)")</f>
        <v>Pengaruh Citra Merek, Promosi, Harga, Dan Kualitas Pelayanan Terhadap Keputusan Pembelian (Pengguna Aplikasi Shopee)</v>
      </c>
      <c r="C327" s="7">
        <f>IFERROR(__xludf.DUMMYFUNCTION("""COMPUTED_VALUE"""),2022.0)</f>
        <v>2022</v>
      </c>
      <c r="D327" s="8" t="str">
        <f>IFERROR(__xludf.DUMMYFUNCTION("""COMPUTED_VALUE"""),"2021/2022")</f>
        <v>2021/2022</v>
      </c>
      <c r="E327" s="9">
        <f>IFERROR(__xludf.DUMMYFUNCTION("""COMPUTED_VALUE"""),44634.0)</f>
        <v>44634</v>
      </c>
      <c r="F327" s="5" t="str">
        <f>IFERROR(__xludf.DUMMYFUNCTION("""COMPUTED_VALUE"""),"Genap")</f>
        <v>Genap</v>
      </c>
      <c r="G327" s="5" t="str">
        <f>IFERROR(__xludf.DUMMYFUNCTION("""COMPUTED_VALUE"""),"Manajemen")</f>
        <v>Manajemen</v>
      </c>
      <c r="H327" s="10" t="str">
        <f>IFERROR(__xludf.DUMMYFUNCTION("""COMPUTED_VALUE"""),"Mahasiswa")</f>
        <v>Mahasiswa</v>
      </c>
      <c r="I327" s="6" t="str">
        <f>IFERROR(__xludf.DUMMYFUNCTION("""COMPUTED_VALUE"""),"Hesti Noor Fatimah")</f>
        <v>Hesti Noor Fatimah</v>
      </c>
      <c r="J327" s="6" t="str">
        <f>IFERROR(__xludf.DUMMYFUNCTION("""COMPUTED_VALUE"""),"Andri Nurtantiono")</f>
        <v>Andri Nurtantiono</v>
      </c>
      <c r="K327" s="6"/>
      <c r="L327" s="6"/>
      <c r="M327" s="6"/>
      <c r="N327" s="6"/>
      <c r="O327" s="6"/>
      <c r="P327" s="10" t="str">
        <f>IFERROR(__xludf.DUMMYFUNCTION("""COMPUTED_VALUE"""),"Hesti Noor Fatimah,Andri Nurtantiono,,")</f>
        <v>Hesti Noor Fatimah,Andri Nurtantiono,,</v>
      </c>
      <c r="Q327" s="11" t="str">
        <f>IFERROR(__xludf.DUMMYFUNCTION("""COMPUTED_VALUE"""),"https://jurnal.unismuhpalu.ac.id/index.php/JSM/article/view/2330")</f>
        <v>https://jurnal.unismuhpalu.ac.id/index.php/JSM/article/view/2330</v>
      </c>
      <c r="R327" s="6"/>
    </row>
    <row r="328">
      <c r="A328" s="5">
        <f>IFERROR(__xludf.DUMMYFUNCTION("""COMPUTED_VALUE"""),327.0)</f>
        <v>327</v>
      </c>
      <c r="B328" s="6" t="str">
        <f>IFERROR(__xludf.DUMMYFUNCTION("""COMPUTED_VALUE"""),"Analysis Of Student Satisfaction And Achievement With Learning Management System")</f>
        <v>Analysis Of Student Satisfaction And Achievement With Learning Management System</v>
      </c>
      <c r="C328" s="7">
        <f>IFERROR(__xludf.DUMMYFUNCTION("""COMPUTED_VALUE"""),2022.0)</f>
        <v>2022</v>
      </c>
      <c r="D328" s="8" t="str">
        <f>IFERROR(__xludf.DUMMYFUNCTION("""COMPUTED_VALUE"""),"2021/2022")</f>
        <v>2021/2022</v>
      </c>
      <c r="E328" s="9">
        <f>IFERROR(__xludf.DUMMYFUNCTION("""COMPUTED_VALUE"""),44643.0)</f>
        <v>44643</v>
      </c>
      <c r="F328" s="5" t="str">
        <f>IFERROR(__xludf.DUMMYFUNCTION("""COMPUTED_VALUE"""),"Genap")</f>
        <v>Genap</v>
      </c>
      <c r="G328" s="5" t="str">
        <f>IFERROR(__xludf.DUMMYFUNCTION("""COMPUTED_VALUE"""),"Manajemen")</f>
        <v>Manajemen</v>
      </c>
      <c r="H328" s="10" t="str">
        <f>IFERROR(__xludf.DUMMYFUNCTION("""COMPUTED_VALUE"""),"Dosen")</f>
        <v>Dosen</v>
      </c>
      <c r="I328" s="6" t="str">
        <f>IFERROR(__xludf.DUMMYFUNCTION("""COMPUTED_VALUE"""),"Budi Istiyanto")</f>
        <v>Budi Istiyanto</v>
      </c>
      <c r="J328" s="6" t="str">
        <f>IFERROR(__xludf.DUMMYFUNCTION("""COMPUTED_VALUE"""),"Muhammad Luqman Hakim")</f>
        <v>Muhammad Luqman Hakim</v>
      </c>
      <c r="K328" s="6"/>
      <c r="L328" s="6"/>
      <c r="M328" s="6"/>
      <c r="N328" s="6"/>
      <c r="O328" s="6"/>
      <c r="P328" s="10" t="str">
        <f>IFERROR(__xludf.DUMMYFUNCTION("""COMPUTED_VALUE"""),"Budi Istiyanto,Muhammad Luqman Hakim,,")</f>
        <v>Budi Istiyanto,Muhammad Luqman Hakim,,</v>
      </c>
      <c r="Q328" s="11" t="str">
        <f>IFERROR(__xludf.DUMMYFUNCTION("""COMPUTED_VALUE"""),"https://ojsicobuss.stiesia.ac.id/index.php/icobuss1st/article/view/191")</f>
        <v>https://ojsicobuss.stiesia.ac.id/index.php/icobuss1st/article/view/191</v>
      </c>
      <c r="R328" s="6"/>
    </row>
    <row r="329">
      <c r="A329" s="5">
        <f>IFERROR(__xludf.DUMMYFUNCTION("""COMPUTED_VALUE"""),328.0)</f>
        <v>328</v>
      </c>
      <c r="B329" s="6" t="str">
        <f>IFERROR(__xludf.DUMMYFUNCTION("""COMPUTED_VALUE"""),"Menguji Pengaruh Variety Seeking Atas Dissatisfaction Dan Competitor Promotion Terhadap Brand Switching Konsumen Lazada")</f>
        <v>Menguji Pengaruh Variety Seeking Atas Dissatisfaction Dan Competitor Promotion Terhadap Brand Switching Konsumen Lazada</v>
      </c>
      <c r="C329" s="7">
        <f>IFERROR(__xludf.DUMMYFUNCTION("""COMPUTED_VALUE"""),2022.0)</f>
        <v>2022</v>
      </c>
      <c r="D329" s="8" t="str">
        <f>IFERROR(__xludf.DUMMYFUNCTION("""COMPUTED_VALUE"""),"2021/2022")</f>
        <v>2021/2022</v>
      </c>
      <c r="E329" s="9">
        <f>IFERROR(__xludf.DUMMYFUNCTION("""COMPUTED_VALUE"""),44643.0)</f>
        <v>44643</v>
      </c>
      <c r="F329" s="5" t="str">
        <f>IFERROR(__xludf.DUMMYFUNCTION("""COMPUTED_VALUE"""),"Genap")</f>
        <v>Genap</v>
      </c>
      <c r="G329" s="5" t="str">
        <f>IFERROR(__xludf.DUMMYFUNCTION("""COMPUTED_VALUE"""),"Manajemen")</f>
        <v>Manajemen</v>
      </c>
      <c r="H329" s="10" t="str">
        <f>IFERROR(__xludf.DUMMYFUNCTION("""COMPUTED_VALUE"""),"Mahasiswa")</f>
        <v>Mahasiswa</v>
      </c>
      <c r="I329" s="6" t="str">
        <f>IFERROR(__xludf.DUMMYFUNCTION("""COMPUTED_VALUE"""),"Surya Indah Puspita Asri")</f>
        <v>Surya Indah Puspita Asri</v>
      </c>
      <c r="J329" s="6" t="str">
        <f>IFERROR(__xludf.DUMMYFUNCTION("""COMPUTED_VALUE"""),"Christiawan Hendratmoko")</f>
        <v>Christiawan Hendratmoko</v>
      </c>
      <c r="K329" s="6"/>
      <c r="L329" s="6"/>
      <c r="M329" s="6"/>
      <c r="N329" s="6"/>
      <c r="O329" s="6"/>
      <c r="P329" s="10" t="str">
        <f>IFERROR(__xludf.DUMMYFUNCTION("""COMPUTED_VALUE"""),"Surya Indah Puspita Asri,Christiawan Hendratmoko,,")</f>
        <v>Surya Indah Puspita Asri,Christiawan Hendratmoko,,</v>
      </c>
      <c r="Q329" s="11" t="str">
        <f>IFERROR(__xludf.DUMMYFUNCTION("""COMPUTED_VALUE"""),"https://jurnal.stietrisnanegara.ac.id/index.php/aktual/article/view/128")</f>
        <v>https://jurnal.stietrisnanegara.ac.id/index.php/aktual/article/view/128</v>
      </c>
      <c r="R329" s="6"/>
    </row>
    <row r="330">
      <c r="A330" s="5">
        <f>IFERROR(__xludf.DUMMYFUNCTION("""COMPUTED_VALUE"""),329.0)</f>
        <v>329</v>
      </c>
      <c r="B330" s="6" t="str">
        <f>IFERROR(__xludf.DUMMYFUNCTION("""COMPUTED_VALUE"""),"Determination Of Purchase Decisions: The Phenomenon of Mask and Vitamins in Surakarta During Pandemic")</f>
        <v>Determination Of Purchase Decisions: The Phenomenon of Mask and Vitamins in Surakarta During Pandemic</v>
      </c>
      <c r="C330" s="7">
        <f>IFERROR(__xludf.DUMMYFUNCTION("""COMPUTED_VALUE"""),2022.0)</f>
        <v>2022</v>
      </c>
      <c r="D330" s="8" t="str">
        <f>IFERROR(__xludf.DUMMYFUNCTION("""COMPUTED_VALUE"""),"2021/2022")</f>
        <v>2021/2022</v>
      </c>
      <c r="E330" s="9">
        <f>IFERROR(__xludf.DUMMYFUNCTION("""COMPUTED_VALUE"""),44644.0)</f>
        <v>44644</v>
      </c>
      <c r="F330" s="5" t="str">
        <f>IFERROR(__xludf.DUMMYFUNCTION("""COMPUTED_VALUE"""),"Genap")</f>
        <v>Genap</v>
      </c>
      <c r="G330" s="5" t="str">
        <f>IFERROR(__xludf.DUMMYFUNCTION("""COMPUTED_VALUE"""),"Manajemen")</f>
        <v>Manajemen</v>
      </c>
      <c r="H330" s="10" t="str">
        <f>IFERROR(__xludf.DUMMYFUNCTION("""COMPUTED_VALUE"""),"Dosen")</f>
        <v>Dosen</v>
      </c>
      <c r="I330" s="6" t="str">
        <f>IFERROR(__xludf.DUMMYFUNCTION("""COMPUTED_VALUE"""),"Aditya Liliyan")</f>
        <v>Aditya Liliyan</v>
      </c>
      <c r="J330" s="6" t="str">
        <f>IFERROR(__xludf.DUMMYFUNCTION("""COMPUTED_VALUE"""),"Ari Susanti")</f>
        <v>Ari Susanti</v>
      </c>
      <c r="K330" s="6" t="str">
        <f>IFERROR(__xludf.DUMMYFUNCTION("""COMPUTED_VALUE"""),"Ginanjar Rahmawan")</f>
        <v>Ginanjar Rahmawan</v>
      </c>
      <c r="L330" s="6" t="str">
        <f>IFERROR(__xludf.DUMMYFUNCTION("""COMPUTED_VALUE"""),"Rizka Ambar Sari")</f>
        <v>Rizka Ambar Sari</v>
      </c>
      <c r="M330" s="6"/>
      <c r="N330" s="6"/>
      <c r="O330" s="6"/>
      <c r="P330" s="10" t="str">
        <f>IFERROR(__xludf.DUMMYFUNCTION("""COMPUTED_VALUE"""),"Aditya Liliyan,Ari Susanti,Ginanjar Rahmawan,Rizka Ambar Sari")</f>
        <v>Aditya Liliyan,Ari Susanti,Ginanjar Rahmawan,Rizka Ambar Sari</v>
      </c>
      <c r="Q330" s="11" t="str">
        <f>IFERROR(__xludf.DUMMYFUNCTION("""COMPUTED_VALUE"""),"https://ojsicobuss.stiesia.ac.id/index.php/icobuss1st/article/view/210")</f>
        <v>https://ojsicobuss.stiesia.ac.id/index.php/icobuss1st/article/view/210</v>
      </c>
      <c r="R330" s="6"/>
    </row>
    <row r="331">
      <c r="A331" s="5">
        <f>IFERROR(__xludf.DUMMYFUNCTION("""COMPUTED_VALUE"""),330.0)</f>
        <v>330</v>
      </c>
      <c r="B331" s="6" t="str">
        <f>IFERROR(__xludf.DUMMYFUNCTION("""COMPUTED_VALUE"""),"The Influencing Factors For Financial Behavior Of Gen Z")</f>
        <v>The Influencing Factors For Financial Behavior Of Gen Z</v>
      </c>
      <c r="C331" s="7">
        <f>IFERROR(__xludf.DUMMYFUNCTION("""COMPUTED_VALUE"""),2022.0)</f>
        <v>2022</v>
      </c>
      <c r="D331" s="8" t="str">
        <f>IFERROR(__xludf.DUMMYFUNCTION("""COMPUTED_VALUE"""),"2021/2022")</f>
        <v>2021/2022</v>
      </c>
      <c r="E331" s="9">
        <f>IFERROR(__xludf.DUMMYFUNCTION("""COMPUTED_VALUE"""),44644.0)</f>
        <v>44644</v>
      </c>
      <c r="F331" s="5" t="str">
        <f>IFERROR(__xludf.DUMMYFUNCTION("""COMPUTED_VALUE"""),"Genap")</f>
        <v>Genap</v>
      </c>
      <c r="G331" s="5" t="str">
        <f>IFERROR(__xludf.DUMMYFUNCTION("""COMPUTED_VALUE"""),"Akuntansi")</f>
        <v>Akuntansi</v>
      </c>
      <c r="H331" s="10" t="str">
        <f>IFERROR(__xludf.DUMMYFUNCTION("""COMPUTED_VALUE"""),"Dosen")</f>
        <v>Dosen</v>
      </c>
      <c r="I331" s="6" t="str">
        <f>IFERROR(__xludf.DUMMYFUNCTION("""COMPUTED_VALUE"""),"Tri Ratna Pamikatsih")</f>
        <v>Tri Ratna Pamikatsih</v>
      </c>
      <c r="J331" s="6" t="str">
        <f>IFERROR(__xludf.DUMMYFUNCTION("""COMPUTED_VALUE"""),"Atik Lusia")</f>
        <v>Atik Lusia</v>
      </c>
      <c r="K331" s="6" t="str">
        <f>IFERROR(__xludf.DUMMYFUNCTION("""COMPUTED_VALUE"""),"Adelvia Sri Rahayu")</f>
        <v>Adelvia Sri Rahayu</v>
      </c>
      <c r="L331" s="6" t="str">
        <f>IFERROR(__xludf.DUMMYFUNCTION("""COMPUTED_VALUE"""),"Putri Maisara")</f>
        <v>Putri Maisara</v>
      </c>
      <c r="M331" s="6" t="str">
        <f>IFERROR(__xludf.DUMMYFUNCTION("""COMPUTED_VALUE"""),"Arif Farida")</f>
        <v>Arif Farida</v>
      </c>
      <c r="N331" s="6"/>
      <c r="O331" s="6"/>
      <c r="P331" s="10" t="str">
        <f>IFERROR(__xludf.DUMMYFUNCTION("""COMPUTED_VALUE"""),"Tri Ratna Pamikatsih,Atik Lusia,Adelvia Sri Rahayu,Putri Maisara")</f>
        <v>Tri Ratna Pamikatsih,Atik Lusia,Adelvia Sri Rahayu,Putri Maisara</v>
      </c>
      <c r="Q331" s="11" t="str">
        <f>IFERROR(__xludf.DUMMYFUNCTION("""COMPUTED_VALUE"""),"https://ojsicobuss.stiesia.ac.id/index.php/icobuss1st/article/view/196")</f>
        <v>https://ojsicobuss.stiesia.ac.id/index.php/icobuss1st/article/view/196</v>
      </c>
      <c r="R331" s="6"/>
    </row>
    <row r="332">
      <c r="A332" s="5">
        <f>IFERROR(__xludf.DUMMYFUNCTION("""COMPUTED_VALUE"""),331.0)</f>
        <v>331</v>
      </c>
      <c r="B332" s="6" t="str">
        <f>IFERROR(__xludf.DUMMYFUNCTION("""COMPUTED_VALUE"""),"Analisis Rasio Aktivitas Keuangan Pada Masa Covid-19 Terhadap Laba Bersih")</f>
        <v>Analisis Rasio Aktivitas Keuangan Pada Masa Covid-19 Terhadap Laba Bersih</v>
      </c>
      <c r="C332" s="7">
        <f>IFERROR(__xludf.DUMMYFUNCTION("""COMPUTED_VALUE"""),2022.0)</f>
        <v>2022</v>
      </c>
      <c r="D332" s="8" t="str">
        <f>IFERROR(__xludf.DUMMYFUNCTION("""COMPUTED_VALUE"""),"2021/2022")</f>
        <v>2021/2022</v>
      </c>
      <c r="E332" s="9">
        <f>IFERROR(__xludf.DUMMYFUNCTION("""COMPUTED_VALUE"""),44645.0)</f>
        <v>44645</v>
      </c>
      <c r="F332" s="5" t="str">
        <f>IFERROR(__xludf.DUMMYFUNCTION("""COMPUTED_VALUE"""),"Genap")</f>
        <v>Genap</v>
      </c>
      <c r="G332" s="5" t="str">
        <f>IFERROR(__xludf.DUMMYFUNCTION("""COMPUTED_VALUE"""),"Akuntansi")</f>
        <v>Akuntansi</v>
      </c>
      <c r="H332" s="10" t="str">
        <f>IFERROR(__xludf.DUMMYFUNCTION("""COMPUTED_VALUE"""),"Mahasiswa")</f>
        <v>Mahasiswa</v>
      </c>
      <c r="I332" s="6" t="str">
        <f>IFERROR(__xludf.DUMMYFUNCTION("""COMPUTED_VALUE"""),"Septiana Dwi Krismonika")</f>
        <v>Septiana Dwi Krismonika</v>
      </c>
      <c r="J332" s="6" t="str">
        <f>IFERROR(__xludf.DUMMYFUNCTION("""COMPUTED_VALUE"""),"Rosita")</f>
        <v>Rosita</v>
      </c>
      <c r="K332" s="6"/>
      <c r="L332" s="6"/>
      <c r="M332" s="6"/>
      <c r="N332" s="6"/>
      <c r="O332" s="6"/>
      <c r="P332" s="10" t="str">
        <f>IFERROR(__xludf.DUMMYFUNCTION("""COMPUTED_VALUE"""),"Septiana Dwi Krismonika,Rosita,,")</f>
        <v>Septiana Dwi Krismonika,Rosita,,</v>
      </c>
      <c r="Q332" s="11" t="str">
        <f>IFERROR(__xludf.DUMMYFUNCTION("""COMPUTED_VALUE"""),"https://download.garuda.kemdikbud.go.id/article.php?article=2989039&amp;val=13139&amp;title=Analisis%20rasio%20aktivitas%20keuangan%20pada%20masa%20covid-19%20terhadap%20laba%20bersih")</f>
        <v>https://download.garuda.kemdikbud.go.id/article.php?article=2989039&amp;val=13139&amp;title=Analisis%20rasio%20aktivitas%20keuangan%20pada%20masa%20covid-19%20terhadap%20laba%20bersih</v>
      </c>
      <c r="R332" s="6"/>
    </row>
    <row r="333">
      <c r="A333" s="5">
        <f>IFERROR(__xludf.DUMMYFUNCTION("""COMPUTED_VALUE"""),332.0)</f>
        <v>332</v>
      </c>
      <c r="B333" s="6" t="str">
        <f>IFERROR(__xludf.DUMMYFUNCTION("""COMPUTED_VALUE"""),"Analisis Variabel Yang Mempengaruhi Sikap Dalam Membayar Pajak Bumi Dan Bangunan Di Kecamatan Pasar Kliwon Surakarta")</f>
        <v>Analisis Variabel Yang Mempengaruhi Sikap Dalam Membayar Pajak Bumi Dan Bangunan Di Kecamatan Pasar Kliwon Surakarta</v>
      </c>
      <c r="C333" s="7">
        <f>IFERROR(__xludf.DUMMYFUNCTION("""COMPUTED_VALUE"""),2022.0)</f>
        <v>2022</v>
      </c>
      <c r="D333" s="8" t="str">
        <f>IFERROR(__xludf.DUMMYFUNCTION("""COMPUTED_VALUE"""),"2021/2022")</f>
        <v>2021/2022</v>
      </c>
      <c r="E333" s="9">
        <f>IFERROR(__xludf.DUMMYFUNCTION("""COMPUTED_VALUE"""),44645.0)</f>
        <v>44645</v>
      </c>
      <c r="F333" s="5" t="str">
        <f>IFERROR(__xludf.DUMMYFUNCTION("""COMPUTED_VALUE"""),"Genap")</f>
        <v>Genap</v>
      </c>
      <c r="G333" s="5" t="str">
        <f>IFERROR(__xludf.DUMMYFUNCTION("""COMPUTED_VALUE"""),"Akuntansi")</f>
        <v>Akuntansi</v>
      </c>
      <c r="H333" s="10" t="str">
        <f>IFERROR(__xludf.DUMMYFUNCTION("""COMPUTED_VALUE"""),"Mahasiswa")</f>
        <v>Mahasiswa</v>
      </c>
      <c r="I333" s="6" t="str">
        <f>IFERROR(__xludf.DUMMYFUNCTION("""COMPUTED_VALUE"""),"Diyah Mawarni")</f>
        <v>Diyah Mawarni</v>
      </c>
      <c r="J333" s="6" t="str">
        <f>IFERROR(__xludf.DUMMYFUNCTION("""COMPUTED_VALUE"""),"Astuning Saharsini")</f>
        <v>Astuning Saharsini</v>
      </c>
      <c r="K333" s="6"/>
      <c r="L333" s="6"/>
      <c r="M333" s="6"/>
      <c r="N333" s="6"/>
      <c r="O333" s="6"/>
      <c r="P333" s="10" t="str">
        <f>IFERROR(__xludf.DUMMYFUNCTION("""COMPUTED_VALUE"""),"Diyah Mawarni,Astuning Saharsini,,")</f>
        <v>Diyah Mawarni,Astuning Saharsini,,</v>
      </c>
      <c r="Q333" s="11" t="str">
        <f>IFERROR(__xludf.DUMMYFUNCTION("""COMPUTED_VALUE"""),"https://www.researchgate.net/publication/363865803_Analisis_variabel_yang_mempengaruhi_sikap_dalam_membayar_pajak_bumi_dan_bangunan_di_kecamatan_pasar_kliwon_Surakarta")</f>
        <v>https://www.researchgate.net/publication/363865803_Analisis_variabel_yang_mempengaruhi_sikap_dalam_membayar_pajak_bumi_dan_bangunan_di_kecamatan_pasar_kliwon_Surakarta</v>
      </c>
      <c r="R333" s="6"/>
    </row>
    <row r="334">
      <c r="A334" s="5">
        <f>IFERROR(__xludf.DUMMYFUNCTION("""COMPUTED_VALUE"""),333.0)</f>
        <v>333</v>
      </c>
      <c r="B334" s="6" t="str">
        <f>IFERROR(__xludf.DUMMYFUNCTION("""COMPUTED_VALUE"""),"Study Determinasi Pendapatan Asli Daerah Di Soloraya")</f>
        <v>Study Determinasi Pendapatan Asli Daerah Di Soloraya</v>
      </c>
      <c r="C334" s="7">
        <f>IFERROR(__xludf.DUMMYFUNCTION("""COMPUTED_VALUE"""),2022.0)</f>
        <v>2022</v>
      </c>
      <c r="D334" s="8" t="str">
        <f>IFERROR(__xludf.DUMMYFUNCTION("""COMPUTED_VALUE"""),"2021/2022")</f>
        <v>2021/2022</v>
      </c>
      <c r="E334" s="9">
        <f>IFERROR(__xludf.DUMMYFUNCTION("""COMPUTED_VALUE"""),44646.0)</f>
        <v>44646</v>
      </c>
      <c r="F334" s="5" t="str">
        <f>IFERROR(__xludf.DUMMYFUNCTION("""COMPUTED_VALUE"""),"Genap")</f>
        <v>Genap</v>
      </c>
      <c r="G334" s="5" t="str">
        <f>IFERROR(__xludf.DUMMYFUNCTION("""COMPUTED_VALUE"""),"Akuntansi")</f>
        <v>Akuntansi</v>
      </c>
      <c r="H334" s="10" t="str">
        <f>IFERROR(__xludf.DUMMYFUNCTION("""COMPUTED_VALUE"""),"Mahasiswa")</f>
        <v>Mahasiswa</v>
      </c>
      <c r="I334" s="6" t="str">
        <f>IFERROR(__xludf.DUMMYFUNCTION("""COMPUTED_VALUE"""),"Agustina Citra Prasasti")</f>
        <v>Agustina Citra Prasasti</v>
      </c>
      <c r="J334" s="6" t="str">
        <f>IFERROR(__xludf.DUMMYFUNCTION("""COMPUTED_VALUE"""),"Arif Nugroho Rachman")</f>
        <v>Arif Nugroho Rachman</v>
      </c>
      <c r="K334" s="6"/>
      <c r="L334" s="6"/>
      <c r="M334" s="6"/>
      <c r="N334" s="6"/>
      <c r="O334" s="6"/>
      <c r="P334" s="10" t="str">
        <f>IFERROR(__xludf.DUMMYFUNCTION("""COMPUTED_VALUE"""),"Agustina Citra Prasasti,Arif Nugroho Rachman,,")</f>
        <v>Agustina Citra Prasasti,Arif Nugroho Rachman,,</v>
      </c>
      <c r="Q334" s="11" t="str">
        <f>IFERROR(__xludf.DUMMYFUNCTION("""COMPUTED_VALUE"""),"https://jurnal.stietrisnanegara.ac.id/index.php/aktual/article/view/132")</f>
        <v>https://jurnal.stietrisnanegara.ac.id/index.php/aktual/article/view/132</v>
      </c>
      <c r="R334" s="6"/>
    </row>
    <row r="335">
      <c r="A335" s="5">
        <f>IFERROR(__xludf.DUMMYFUNCTION("""COMPUTED_VALUE"""),334.0)</f>
        <v>334</v>
      </c>
      <c r="B335" s="6" t="str">
        <f>IFERROR(__xludf.DUMMYFUNCTION("""COMPUTED_VALUE"""),"APAKAH PANDEMI COVID-19 MEMENGARUHI KEPUTUSAN BERINVESTASI MASYARAKAT DESA?")</f>
        <v>APAKAH PANDEMI COVID-19 MEMENGARUHI KEPUTUSAN BERINVESTASI MASYARAKAT DESA?</v>
      </c>
      <c r="C335" s="7">
        <f>IFERROR(__xludf.DUMMYFUNCTION("""COMPUTED_VALUE"""),2022.0)</f>
        <v>2022</v>
      </c>
      <c r="D335" s="8" t="str">
        <f>IFERROR(__xludf.DUMMYFUNCTION("""COMPUTED_VALUE"""),"2021/2022")</f>
        <v>2021/2022</v>
      </c>
      <c r="E335" s="9">
        <f>IFERROR(__xludf.DUMMYFUNCTION("""COMPUTED_VALUE"""),44648.0)</f>
        <v>44648</v>
      </c>
      <c r="F335" s="5" t="str">
        <f>IFERROR(__xludf.DUMMYFUNCTION("""COMPUTED_VALUE"""),"Genap")</f>
        <v>Genap</v>
      </c>
      <c r="G335" s="5" t="str">
        <f>IFERROR(__xludf.DUMMYFUNCTION("""COMPUTED_VALUE"""),"Akuntansi")</f>
        <v>Akuntansi</v>
      </c>
      <c r="H335" s="10" t="str">
        <f>IFERROR(__xludf.DUMMYFUNCTION("""COMPUTED_VALUE"""),"Mahasiswa")</f>
        <v>Mahasiswa</v>
      </c>
      <c r="I335" s="6" t="str">
        <f>IFERROR(__xludf.DUMMYFUNCTION("""COMPUTED_VALUE"""),"Novita Diana Sari")</f>
        <v>Novita Diana Sari</v>
      </c>
      <c r="J335" s="6" t="str">
        <f>IFERROR(__xludf.DUMMYFUNCTION("""COMPUTED_VALUE"""),"Tri Ratna Pamikatsih")</f>
        <v>Tri Ratna Pamikatsih</v>
      </c>
      <c r="K335" s="6"/>
      <c r="L335" s="6"/>
      <c r="M335" s="6"/>
      <c r="N335" s="6"/>
      <c r="O335" s="6"/>
      <c r="P335" s="10" t="str">
        <f>IFERROR(__xludf.DUMMYFUNCTION("""COMPUTED_VALUE"""),"Novita Diana Sari,Tri Ratna Pamikatsih,,")</f>
        <v>Novita Diana Sari,Tri Ratna Pamikatsih,,</v>
      </c>
      <c r="Q335" s="11" t="str">
        <f>IFERROR(__xludf.DUMMYFUNCTION("""COMPUTED_VALUE"""),"https://journal.unesa.ac.id/index.php/jim/article/view/16339")</f>
        <v>https://journal.unesa.ac.id/index.php/jim/article/view/16339</v>
      </c>
      <c r="R335" s="6"/>
    </row>
    <row r="336">
      <c r="A336" s="5">
        <f>IFERROR(__xludf.DUMMYFUNCTION("""COMPUTED_VALUE"""),335.0)</f>
        <v>335</v>
      </c>
      <c r="B336" s="6" t="str">
        <f>IFERROR(__xludf.DUMMYFUNCTION("""COMPUTED_VALUE"""),"Determinan Informasi Akuntansi Usaha Kecil Dan Menengah Di Boyolali")</f>
        <v>Determinan Informasi Akuntansi Usaha Kecil Dan Menengah Di Boyolali</v>
      </c>
      <c r="C336" s="7">
        <f>IFERROR(__xludf.DUMMYFUNCTION("""COMPUTED_VALUE"""),2022.0)</f>
        <v>2022</v>
      </c>
      <c r="D336" s="8" t="str">
        <f>IFERROR(__xludf.DUMMYFUNCTION("""COMPUTED_VALUE"""),"2021/2022")</f>
        <v>2021/2022</v>
      </c>
      <c r="E336" s="9">
        <f>IFERROR(__xludf.DUMMYFUNCTION("""COMPUTED_VALUE"""),44648.0)</f>
        <v>44648</v>
      </c>
      <c r="F336" s="5" t="str">
        <f>IFERROR(__xludf.DUMMYFUNCTION("""COMPUTED_VALUE"""),"Genap")</f>
        <v>Genap</v>
      </c>
      <c r="G336" s="5" t="str">
        <f>IFERROR(__xludf.DUMMYFUNCTION("""COMPUTED_VALUE"""),"Akuntansi")</f>
        <v>Akuntansi</v>
      </c>
      <c r="H336" s="10" t="str">
        <f>IFERROR(__xludf.DUMMYFUNCTION("""COMPUTED_VALUE"""),"Mahasiswa")</f>
        <v>Mahasiswa</v>
      </c>
      <c r="I336" s="6" t="str">
        <f>IFERROR(__xludf.DUMMYFUNCTION("""COMPUTED_VALUE"""),"Melinda Selvia Ramadhani")</f>
        <v>Melinda Selvia Ramadhani</v>
      </c>
      <c r="J336" s="6" t="str">
        <f>IFERROR(__xludf.DUMMYFUNCTION("""COMPUTED_VALUE"""),"Pardi")</f>
        <v>Pardi</v>
      </c>
      <c r="K336" s="6"/>
      <c r="L336" s="6"/>
      <c r="M336" s="6"/>
      <c r="N336" s="6"/>
      <c r="O336" s="6"/>
      <c r="P336" s="10" t="str">
        <f>IFERROR(__xludf.DUMMYFUNCTION("""COMPUTED_VALUE"""),"Melinda Selvia Ramadhani,Pardi,,")</f>
        <v>Melinda Selvia Ramadhani,Pardi,,</v>
      </c>
      <c r="Q336" s="11" t="str">
        <f>IFERROR(__xludf.DUMMYFUNCTION("""COMPUTED_VALUE"""),"https://bajangjournal.com/index.php/JEMBA/article/view/1832")</f>
        <v>https://bajangjournal.com/index.php/JEMBA/article/view/1832</v>
      </c>
      <c r="R336" s="6"/>
    </row>
    <row r="337">
      <c r="A337" s="5">
        <f>IFERROR(__xludf.DUMMYFUNCTION("""COMPUTED_VALUE"""),336.0)</f>
        <v>336</v>
      </c>
      <c r="B337" s="6" t="str">
        <f>IFERROR(__xludf.DUMMYFUNCTION("""COMPUTED_VALUE"""),"STUDI PENGARUH KUALITAS LAPORAN KEUANGAN PADA UMKM DI BTC SURAKARTA")</f>
        <v>STUDI PENGARUH KUALITAS LAPORAN KEUANGAN PADA UMKM DI BTC SURAKARTA</v>
      </c>
      <c r="C337" s="7">
        <f>IFERROR(__xludf.DUMMYFUNCTION("""COMPUTED_VALUE"""),2022.0)</f>
        <v>2022</v>
      </c>
      <c r="D337" s="8" t="str">
        <f>IFERROR(__xludf.DUMMYFUNCTION("""COMPUTED_VALUE"""),"2021/2022")</f>
        <v>2021/2022</v>
      </c>
      <c r="E337" s="9">
        <f>IFERROR(__xludf.DUMMYFUNCTION("""COMPUTED_VALUE"""),44648.0)</f>
        <v>44648</v>
      </c>
      <c r="F337" s="5" t="str">
        <f>IFERROR(__xludf.DUMMYFUNCTION("""COMPUTED_VALUE"""),"Genap")</f>
        <v>Genap</v>
      </c>
      <c r="G337" s="5" t="str">
        <f>IFERROR(__xludf.DUMMYFUNCTION("""COMPUTED_VALUE"""),"Akuntansi")</f>
        <v>Akuntansi</v>
      </c>
      <c r="H337" s="10" t="str">
        <f>IFERROR(__xludf.DUMMYFUNCTION("""COMPUTED_VALUE"""),"Mahasiswa")</f>
        <v>Mahasiswa</v>
      </c>
      <c r="I337" s="6" t="str">
        <f>IFERROR(__xludf.DUMMYFUNCTION("""COMPUTED_VALUE"""),"Arina Nur Afifah")</f>
        <v>Arina Nur Afifah</v>
      </c>
      <c r="J337" s="6" t="str">
        <f>IFERROR(__xludf.DUMMYFUNCTION("""COMPUTED_VALUE"""),"Arif Nugroho Rachman")</f>
        <v>Arif Nugroho Rachman</v>
      </c>
      <c r="K337" s="6"/>
      <c r="L337" s="6"/>
      <c r="M337" s="6"/>
      <c r="N337" s="6"/>
      <c r="O337" s="6"/>
      <c r="P337" s="10" t="str">
        <f>IFERROR(__xludf.DUMMYFUNCTION("""COMPUTED_VALUE"""),"Arina Nur Afifah,Arif Nugroho Rachman,,")</f>
        <v>Arina Nur Afifah,Arif Nugroho Rachman,,</v>
      </c>
      <c r="Q337" s="11" t="str">
        <f>IFERROR(__xludf.DUMMYFUNCTION("""COMPUTED_VALUE"""),"https://bajangjournal.com/index.php/JEMBA/article/view/1841")</f>
        <v>https://bajangjournal.com/index.php/JEMBA/article/view/1841</v>
      </c>
      <c r="R337" s="6"/>
    </row>
    <row r="338">
      <c r="A338" s="5">
        <f>IFERROR(__xludf.DUMMYFUNCTION("""COMPUTED_VALUE"""),337.0)</f>
        <v>337</v>
      </c>
      <c r="B338" s="6" t="str">
        <f>IFERROR(__xludf.DUMMYFUNCTION("""COMPUTED_VALUE"""),"Study of the Influence of Credit Giving at PT. BPR Cita Dewi Karanganyar")</f>
        <v>Study of the Influence of Credit Giving at PT. BPR Cita Dewi Karanganyar</v>
      </c>
      <c r="C338" s="7">
        <f>IFERROR(__xludf.DUMMYFUNCTION("""COMPUTED_VALUE"""),2022.0)</f>
        <v>2022</v>
      </c>
      <c r="D338" s="8" t="str">
        <f>IFERROR(__xludf.DUMMYFUNCTION("""COMPUTED_VALUE"""),"2021/2022")</f>
        <v>2021/2022</v>
      </c>
      <c r="E338" s="9">
        <f>IFERROR(__xludf.DUMMYFUNCTION("""COMPUTED_VALUE"""),44650.0)</f>
        <v>44650</v>
      </c>
      <c r="F338" s="5" t="str">
        <f>IFERROR(__xludf.DUMMYFUNCTION("""COMPUTED_VALUE"""),"Genap")</f>
        <v>Genap</v>
      </c>
      <c r="G338" s="5" t="str">
        <f>IFERROR(__xludf.DUMMYFUNCTION("""COMPUTED_VALUE"""),"Akuntansi")</f>
        <v>Akuntansi</v>
      </c>
      <c r="H338" s="10" t="str">
        <f>IFERROR(__xludf.DUMMYFUNCTION("""COMPUTED_VALUE"""),"Mahasiswa")</f>
        <v>Mahasiswa</v>
      </c>
      <c r="I338" s="6" t="str">
        <f>IFERROR(__xludf.DUMMYFUNCTION("""COMPUTED_VALUE"""),"Evita Kusuma")</f>
        <v>Evita Kusuma</v>
      </c>
      <c r="J338" s="6" t="str">
        <f>IFERROR(__xludf.DUMMYFUNCTION("""COMPUTED_VALUE"""),"Arif Nugroho Rachman")</f>
        <v>Arif Nugroho Rachman</v>
      </c>
      <c r="K338" s="6"/>
      <c r="L338" s="6"/>
      <c r="M338" s="6"/>
      <c r="N338" s="6"/>
      <c r="O338" s="6"/>
      <c r="P338" s="10" t="str">
        <f>IFERROR(__xludf.DUMMYFUNCTION("""COMPUTED_VALUE"""),"Evita Kusuma,Arif Nugroho Rachman,,")</f>
        <v>Evita Kusuma,Arif Nugroho Rachman,,</v>
      </c>
      <c r="Q338" s="11" t="str">
        <f>IFERROR(__xludf.DUMMYFUNCTION("""COMPUTED_VALUE"""),"https://www.neliti.com/id/publications/432663/study-of-the-influence-of-credit-giving-at-pt-bpr-cita-dewi-karanganyar")</f>
        <v>https://www.neliti.com/id/publications/432663/study-of-the-influence-of-credit-giving-at-pt-bpr-cita-dewi-karanganyar</v>
      </c>
      <c r="R338" s="6"/>
    </row>
    <row r="339">
      <c r="A339" s="5">
        <f>IFERROR(__xludf.DUMMYFUNCTION("""COMPUTED_VALUE"""),338.0)</f>
        <v>338</v>
      </c>
      <c r="B339" s="6" t="str">
        <f>IFERROR(__xludf.DUMMYFUNCTION("""COMPUTED_VALUE"""),"Analysis Of External Factors That Affect Non-Performing Loans To Bank Customers In Boyolali")</f>
        <v>Analysis Of External Factors That Affect Non-Performing Loans To Bank Customers In Boyolali</v>
      </c>
      <c r="C339" s="7">
        <f>IFERROR(__xludf.DUMMYFUNCTION("""COMPUTED_VALUE"""),2022.0)</f>
        <v>2022</v>
      </c>
      <c r="D339" s="8" t="str">
        <f>IFERROR(__xludf.DUMMYFUNCTION("""COMPUTED_VALUE"""),"2021/2022")</f>
        <v>2021/2022</v>
      </c>
      <c r="E339" s="9">
        <f>IFERROR(__xludf.DUMMYFUNCTION("""COMPUTED_VALUE"""),44650.0)</f>
        <v>44650</v>
      </c>
      <c r="F339" s="5" t="str">
        <f>IFERROR(__xludf.DUMMYFUNCTION("""COMPUTED_VALUE"""),"Genap")</f>
        <v>Genap</v>
      </c>
      <c r="G339" s="5" t="str">
        <f>IFERROR(__xludf.DUMMYFUNCTION("""COMPUTED_VALUE"""),"Akuntansi")</f>
        <v>Akuntansi</v>
      </c>
      <c r="H339" s="10" t="str">
        <f>IFERROR(__xludf.DUMMYFUNCTION("""COMPUTED_VALUE"""),"Mahasiswa")</f>
        <v>Mahasiswa</v>
      </c>
      <c r="I339" s="6" t="str">
        <f>IFERROR(__xludf.DUMMYFUNCTION("""COMPUTED_VALUE"""),"Erna Febrianti")</f>
        <v>Erna Febrianti</v>
      </c>
      <c r="J339" s="6" t="str">
        <f>IFERROR(__xludf.DUMMYFUNCTION("""COMPUTED_VALUE"""),"Astuning Saharsini")</f>
        <v>Astuning Saharsini</v>
      </c>
      <c r="K339" s="6"/>
      <c r="L339" s="6"/>
      <c r="M339" s="6"/>
      <c r="N339" s="6"/>
      <c r="O339" s="6"/>
      <c r="P339" s="10" t="str">
        <f>IFERROR(__xludf.DUMMYFUNCTION("""COMPUTED_VALUE"""),"Erna Febrianti,Astuning Saharsini,,")</f>
        <v>Erna Febrianti,Astuning Saharsini,,</v>
      </c>
      <c r="Q339" s="11" t="str">
        <f>IFERROR(__xludf.DUMMYFUNCTION("""COMPUTED_VALUE"""),"https://www.neliti.com/id/publications/432726/analysis-of-external-factors-that-affect-non-performing-loans-to-bank-customers")</f>
        <v>https://www.neliti.com/id/publications/432726/analysis-of-external-factors-that-affect-non-performing-loans-to-bank-customers</v>
      </c>
      <c r="R339" s="6"/>
    </row>
    <row r="340">
      <c r="A340" s="5">
        <f>IFERROR(__xludf.DUMMYFUNCTION("""COMPUTED_VALUE"""),339.0)</f>
        <v>339</v>
      </c>
      <c r="B340" s="6" t="str">
        <f>IFERROR(__xludf.DUMMYFUNCTION("""COMPUTED_VALUE"""),"Faktor-Faktor yang Mempengaruhi Loyalitas Konsumen Produk Jims Honey (Studi Kasus di Online Shop Jimshoney_Klaten09)")</f>
        <v>Faktor-Faktor yang Mempengaruhi Loyalitas Konsumen Produk Jims Honey (Studi Kasus di Online Shop Jimshoney_Klaten09)</v>
      </c>
      <c r="C340" s="7">
        <f>IFERROR(__xludf.DUMMYFUNCTION("""COMPUTED_VALUE"""),2022.0)</f>
        <v>2022</v>
      </c>
      <c r="D340" s="8" t="str">
        <f>IFERROR(__xludf.DUMMYFUNCTION("""COMPUTED_VALUE"""),"2021/2022")</f>
        <v>2021/2022</v>
      </c>
      <c r="E340" s="9">
        <f>IFERROR(__xludf.DUMMYFUNCTION("""COMPUTED_VALUE"""),44651.0)</f>
        <v>44651</v>
      </c>
      <c r="F340" s="5" t="str">
        <f>IFERROR(__xludf.DUMMYFUNCTION("""COMPUTED_VALUE"""),"Genap")</f>
        <v>Genap</v>
      </c>
      <c r="G340" s="5" t="str">
        <f>IFERROR(__xludf.DUMMYFUNCTION("""COMPUTED_VALUE"""),"Manajemen")</f>
        <v>Manajemen</v>
      </c>
      <c r="H340" s="10" t="str">
        <f>IFERROR(__xludf.DUMMYFUNCTION("""COMPUTED_VALUE"""),"Mahasiswa")</f>
        <v>Mahasiswa</v>
      </c>
      <c r="I340" s="6" t="str">
        <f>IFERROR(__xludf.DUMMYFUNCTION("""COMPUTED_VALUE"""),"RIRIN OKTAVIANI")</f>
        <v>RIRIN OKTAVIANI</v>
      </c>
      <c r="J340" s="6" t="str">
        <f>IFERROR(__xludf.DUMMYFUNCTION("""COMPUTED_VALUE"""),"Atik Lusia")</f>
        <v>Atik Lusia</v>
      </c>
      <c r="K340" s="6"/>
      <c r="L340" s="6"/>
      <c r="M340" s="6"/>
      <c r="N340" s="6"/>
      <c r="O340" s="6"/>
      <c r="P340" s="10" t="str">
        <f>IFERROR(__xludf.DUMMYFUNCTION("""COMPUTED_VALUE"""),"RIRIN OKTAVIANI,Atik Lusia,,")</f>
        <v>RIRIN OKTAVIANI,Atik Lusia,,</v>
      </c>
      <c r="Q340" s="11" t="str">
        <f>IFERROR(__xludf.DUMMYFUNCTION("""COMPUTED_VALUE"""),"https://journal.widyamanggala.ac.id/index.php/jurnalaset/article/view/201")</f>
        <v>https://journal.widyamanggala.ac.id/index.php/jurnalaset/article/view/201</v>
      </c>
      <c r="R340" s="6"/>
    </row>
    <row r="341">
      <c r="A341" s="5">
        <f>IFERROR(__xludf.DUMMYFUNCTION("""COMPUTED_VALUE"""),340.0)</f>
        <v>340</v>
      </c>
      <c r="B341" s="6" t="str">
        <f>IFERROR(__xludf.DUMMYFUNCTION("""COMPUTED_VALUE"""),"Analisis Kinerja Sistem Informasi Akuntansi CV. Dharma Aksara")</f>
        <v>Analisis Kinerja Sistem Informasi Akuntansi CV. Dharma Aksara</v>
      </c>
      <c r="C341" s="7">
        <f>IFERROR(__xludf.DUMMYFUNCTION("""COMPUTED_VALUE"""),2022.0)</f>
        <v>2022</v>
      </c>
      <c r="D341" s="8" t="str">
        <f>IFERROR(__xludf.DUMMYFUNCTION("""COMPUTED_VALUE"""),"2021/2022")</f>
        <v>2021/2022</v>
      </c>
      <c r="E341" s="9">
        <f>IFERROR(__xludf.DUMMYFUNCTION("""COMPUTED_VALUE"""),44651.0)</f>
        <v>44651</v>
      </c>
      <c r="F341" s="5" t="str">
        <f>IFERROR(__xludf.DUMMYFUNCTION("""COMPUTED_VALUE"""),"Genap")</f>
        <v>Genap</v>
      </c>
      <c r="G341" s="5" t="str">
        <f>IFERROR(__xludf.DUMMYFUNCTION("""COMPUTED_VALUE"""),"Akuntansi")</f>
        <v>Akuntansi</v>
      </c>
      <c r="H341" s="10" t="str">
        <f>IFERROR(__xludf.DUMMYFUNCTION("""COMPUTED_VALUE"""),"Mahasiswa")</f>
        <v>Mahasiswa</v>
      </c>
      <c r="I341" s="6" t="str">
        <f>IFERROR(__xludf.DUMMYFUNCTION("""COMPUTED_VALUE"""),"Adelia Mega Purnamawati")</f>
        <v>Adelia Mega Purnamawati</v>
      </c>
      <c r="J341" s="6" t="str">
        <f>IFERROR(__xludf.DUMMYFUNCTION("""COMPUTED_VALUE"""),"Pardi")</f>
        <v>Pardi</v>
      </c>
      <c r="K341" s="6"/>
      <c r="L341" s="6"/>
      <c r="M341" s="6"/>
      <c r="N341" s="6"/>
      <c r="O341" s="6"/>
      <c r="P341" s="10" t="str">
        <f>IFERROR(__xludf.DUMMYFUNCTION("""COMPUTED_VALUE"""),"Adelia Mega Purnamawati,Pardi,,")</f>
        <v>Adelia Mega Purnamawati,Pardi,,</v>
      </c>
      <c r="Q341" s="11" t="str">
        <f>IFERROR(__xludf.DUMMYFUNCTION("""COMPUTED_VALUE"""),"https://journal.widyamanggala.ac.id/index.php/jurnalaset/article/view/195")</f>
        <v>https://journal.widyamanggala.ac.id/index.php/jurnalaset/article/view/195</v>
      </c>
      <c r="R341" s="6"/>
    </row>
    <row r="342">
      <c r="A342" s="5">
        <f>IFERROR(__xludf.DUMMYFUNCTION("""COMPUTED_VALUE"""),341.0)</f>
        <v>341</v>
      </c>
      <c r="B342" s="6" t="str">
        <f>IFERROR(__xludf.DUMMYFUNCTION("""COMPUTED_VALUE"""),"Faktor-Faktor Yang Mempengaruhi Loyalitas Konsumen Produk Jims Honey")</f>
        <v>Faktor-Faktor Yang Mempengaruhi Loyalitas Konsumen Produk Jims Honey</v>
      </c>
      <c r="C342" s="7">
        <f>IFERROR(__xludf.DUMMYFUNCTION("""COMPUTED_VALUE"""),2022.0)</f>
        <v>2022</v>
      </c>
      <c r="D342" s="8" t="str">
        <f>IFERROR(__xludf.DUMMYFUNCTION("""COMPUTED_VALUE"""),"2021/2022")</f>
        <v>2021/2022</v>
      </c>
      <c r="E342" s="9">
        <f>IFERROR(__xludf.DUMMYFUNCTION("""COMPUTED_VALUE"""),44651.0)</f>
        <v>44651</v>
      </c>
      <c r="F342" s="5" t="str">
        <f>IFERROR(__xludf.DUMMYFUNCTION("""COMPUTED_VALUE"""),"Genap")</f>
        <v>Genap</v>
      </c>
      <c r="G342" s="5" t="str">
        <f>IFERROR(__xludf.DUMMYFUNCTION("""COMPUTED_VALUE"""),"Manajemen")</f>
        <v>Manajemen</v>
      </c>
      <c r="H342" s="10" t="str">
        <f>IFERROR(__xludf.DUMMYFUNCTION("""COMPUTED_VALUE"""),"Mahasiswa")</f>
        <v>Mahasiswa</v>
      </c>
      <c r="I342" s="6" t="str">
        <f>IFERROR(__xludf.DUMMYFUNCTION("""COMPUTED_VALUE"""),"Ririn Oktaviani")</f>
        <v>Ririn Oktaviani</v>
      </c>
      <c r="J342" s="6" t="str">
        <f>IFERROR(__xludf.DUMMYFUNCTION("""COMPUTED_VALUE"""),"Atik Lusia")</f>
        <v>Atik Lusia</v>
      </c>
      <c r="K342" s="6"/>
      <c r="L342" s="6"/>
      <c r="M342" s="6"/>
      <c r="N342" s="6"/>
      <c r="O342" s="6"/>
      <c r="P342" s="10" t="str">
        <f>IFERROR(__xludf.DUMMYFUNCTION("""COMPUTED_VALUE"""),"Ririn Oktaviani,Atik Lusia,,")</f>
        <v>Ririn Oktaviani,Atik Lusia,,</v>
      </c>
      <c r="Q342" s="11" t="str">
        <f>IFERROR(__xludf.DUMMYFUNCTION("""COMPUTED_VALUE"""),"https://journal.widyamanggala.ac.id/index.php/jurnalaset/article/view/201")</f>
        <v>https://journal.widyamanggala.ac.id/index.php/jurnalaset/article/view/201</v>
      </c>
      <c r="R342" s="6"/>
    </row>
    <row r="343">
      <c r="A343" s="5">
        <f>IFERROR(__xludf.DUMMYFUNCTION("""COMPUTED_VALUE"""),342.0)</f>
        <v>342</v>
      </c>
      <c r="B343" s="6" t="str">
        <f>IFERROR(__xludf.DUMMYFUNCTION("""COMPUTED_VALUE"""),"Pengaruh E-Commerce, Sosial Media, dan Kepercayaan Konsumen terhadap Minat Beli pada Aplikasi Belanja Shopee")</f>
        <v>Pengaruh E-Commerce, Sosial Media, dan Kepercayaan Konsumen terhadap Minat Beli pada Aplikasi Belanja Shopee</v>
      </c>
      <c r="C343" s="7">
        <f>IFERROR(__xludf.DUMMYFUNCTION("""COMPUTED_VALUE"""),2022.0)</f>
        <v>2022</v>
      </c>
      <c r="D343" s="8" t="str">
        <f>IFERROR(__xludf.DUMMYFUNCTION("""COMPUTED_VALUE"""),"2021/2022")</f>
        <v>2021/2022</v>
      </c>
      <c r="E343" s="9">
        <f>IFERROR(__xludf.DUMMYFUNCTION("""COMPUTED_VALUE"""),44652.0)</f>
        <v>44652</v>
      </c>
      <c r="F343" s="5" t="str">
        <f>IFERROR(__xludf.DUMMYFUNCTION("""COMPUTED_VALUE"""),"Genap")</f>
        <v>Genap</v>
      </c>
      <c r="G343" s="5" t="str">
        <f>IFERROR(__xludf.DUMMYFUNCTION("""COMPUTED_VALUE"""),"Manajemen")</f>
        <v>Manajemen</v>
      </c>
      <c r="H343" s="10" t="str">
        <f>IFERROR(__xludf.DUMMYFUNCTION("""COMPUTED_VALUE"""),"Mahasiswa")</f>
        <v>Mahasiswa</v>
      </c>
      <c r="I343" s="6" t="str">
        <f>IFERROR(__xludf.DUMMYFUNCTION("""COMPUTED_VALUE"""),"Andhiyani Rahmasari Putri")</f>
        <v>Andhiyani Rahmasari Putri</v>
      </c>
      <c r="J343" s="6" t="str">
        <f>IFERROR(__xludf.DUMMYFUNCTION("""COMPUTED_VALUE"""),"Ari Susanti")</f>
        <v>Ari Susanti</v>
      </c>
      <c r="K343" s="6"/>
      <c r="L343" s="6"/>
      <c r="M343" s="6"/>
      <c r="N343" s="6"/>
      <c r="O343" s="6"/>
      <c r="P343" s="10" t="str">
        <f>IFERROR(__xludf.DUMMYFUNCTION("""COMPUTED_VALUE"""),"Andhiyani Rahmasari Putri,Ari Susanti,,")</f>
        <v>Andhiyani Rahmasari Putri,Ari Susanti,,</v>
      </c>
      <c r="Q343" s="11" t="str">
        <f>IFERROR(__xludf.DUMMYFUNCTION("""COMPUTED_VALUE"""),"https://journal.unj.ac.id/unj/index.php/jrmsi/article/view/22130")</f>
        <v>https://journal.unj.ac.id/unj/index.php/jrmsi/article/view/22130</v>
      </c>
      <c r="R343" s="6"/>
    </row>
    <row r="344">
      <c r="A344" s="5">
        <f>IFERROR(__xludf.DUMMYFUNCTION("""COMPUTED_VALUE"""),343.0)</f>
        <v>343</v>
      </c>
      <c r="B344" s="6" t="str">
        <f>IFERROR(__xludf.DUMMYFUNCTION("""COMPUTED_VALUE"""),"Pengaruh Biaya Operasional, Perputaran Persediaan Dan Good Corporate Governance Terhadap Profitabilitas Perusahaan Bumn Di Indonesia")</f>
        <v>Pengaruh Biaya Operasional, Perputaran Persediaan Dan Good Corporate Governance Terhadap Profitabilitas Perusahaan Bumn Di Indonesia</v>
      </c>
      <c r="C344" s="7">
        <f>IFERROR(__xludf.DUMMYFUNCTION("""COMPUTED_VALUE"""),2022.0)</f>
        <v>2022</v>
      </c>
      <c r="D344" s="8" t="str">
        <f>IFERROR(__xludf.DUMMYFUNCTION("""COMPUTED_VALUE"""),"2021/2022")</f>
        <v>2021/2022</v>
      </c>
      <c r="E344" s="9">
        <f>IFERROR(__xludf.DUMMYFUNCTION("""COMPUTED_VALUE"""),44652.0)</f>
        <v>44652</v>
      </c>
      <c r="F344" s="5" t="str">
        <f>IFERROR(__xludf.DUMMYFUNCTION("""COMPUTED_VALUE"""),"Genap")</f>
        <v>Genap</v>
      </c>
      <c r="G344" s="5" t="str">
        <f>IFERROR(__xludf.DUMMYFUNCTION("""COMPUTED_VALUE"""),"Akuntansi")</f>
        <v>Akuntansi</v>
      </c>
      <c r="H344" s="10" t="str">
        <f>IFERROR(__xludf.DUMMYFUNCTION("""COMPUTED_VALUE"""),"Dosen")</f>
        <v>Dosen</v>
      </c>
      <c r="I344" s="6" t="str">
        <f>IFERROR(__xludf.DUMMYFUNCTION("""COMPUTED_VALUE"""),"Nur Kholis")</f>
        <v>Nur Kholis</v>
      </c>
      <c r="J344" s="6" t="str">
        <f>IFERROR(__xludf.DUMMYFUNCTION("""COMPUTED_VALUE"""),"Heri Susanto")</f>
        <v>Heri Susanto</v>
      </c>
      <c r="K344" s="6" t="str">
        <f>IFERROR(__xludf.DUMMYFUNCTION("""COMPUTED_VALUE"""),"Rosita")</f>
        <v>Rosita</v>
      </c>
      <c r="L344" s="6" t="str">
        <f>IFERROR(__xludf.DUMMYFUNCTION("""COMPUTED_VALUE"""),"Hestin Mutmainah")</f>
        <v>Hestin Mutmainah</v>
      </c>
      <c r="M344" s="6"/>
      <c r="N344" s="6"/>
      <c r="O344" s="6"/>
      <c r="P344" s="10" t="str">
        <f>IFERROR(__xludf.DUMMYFUNCTION("""COMPUTED_VALUE"""),"Nur Kholis,Heri Susanto,Rosita,Hestin Mutmainah")</f>
        <v>Nur Kholis,Heri Susanto,Rosita,Hestin Mutmainah</v>
      </c>
      <c r="Q344" s="11" t="str">
        <f>IFERROR(__xludf.DUMMYFUNCTION("""COMPUTED_VALUE"""),"https://www.researchgate.net/publication/366652601_Pengaruh_biaya_operasional_perputaran_persediaan_dan_good_corporate_governance_terhadap_profitabilitas_perusahaan_BUMN_di_Indonesia")</f>
        <v>https://www.researchgate.net/publication/366652601_Pengaruh_biaya_operasional_perputaran_persediaan_dan_good_corporate_governance_terhadap_profitabilitas_perusahaan_BUMN_di_Indonesia</v>
      </c>
      <c r="R344" s="6"/>
    </row>
    <row r="345">
      <c r="A345" s="5">
        <f>IFERROR(__xludf.DUMMYFUNCTION("""COMPUTED_VALUE"""),344.0)</f>
        <v>344</v>
      </c>
      <c r="B345" s="6" t="str">
        <f>IFERROR(__xludf.DUMMYFUNCTION("""COMPUTED_VALUE"""),"Peran Media Sosial, Influencer, Dan Kebudayaan Melalui Perilaku Konsumtif Terhadap Keputusan Pembelian Menggunakan Variabel Intervening Pada Produk Bts Meal")</f>
        <v>Peran Media Sosial, Influencer, Dan Kebudayaan Melalui Perilaku Konsumtif Terhadap Keputusan Pembelian Menggunakan Variabel Intervening Pada Produk Bts Meal</v>
      </c>
      <c r="C345" s="7">
        <f>IFERROR(__xludf.DUMMYFUNCTION("""COMPUTED_VALUE"""),2022.0)</f>
        <v>2022</v>
      </c>
      <c r="D345" s="8" t="str">
        <f>IFERROR(__xludf.DUMMYFUNCTION("""COMPUTED_VALUE"""),"2021/2022")</f>
        <v>2021/2022</v>
      </c>
      <c r="E345" s="9">
        <f>IFERROR(__xludf.DUMMYFUNCTION("""COMPUTED_VALUE"""),44652.0)</f>
        <v>44652</v>
      </c>
      <c r="F345" s="5" t="str">
        <f>IFERROR(__xludf.DUMMYFUNCTION("""COMPUTED_VALUE"""),"Genap")</f>
        <v>Genap</v>
      </c>
      <c r="G345" s="5" t="str">
        <f>IFERROR(__xludf.DUMMYFUNCTION("""COMPUTED_VALUE"""),"Manajemen")</f>
        <v>Manajemen</v>
      </c>
      <c r="H345" s="10" t="str">
        <f>IFERROR(__xludf.DUMMYFUNCTION("""COMPUTED_VALUE"""),"Mahasiswa")</f>
        <v>Mahasiswa</v>
      </c>
      <c r="I345" s="6" t="str">
        <f>IFERROR(__xludf.DUMMYFUNCTION("""COMPUTED_VALUE"""),"Ismi Dwi Purwanti")</f>
        <v>Ismi Dwi Purwanti</v>
      </c>
      <c r="J345" s="6" t="str">
        <f>IFERROR(__xludf.DUMMYFUNCTION("""COMPUTED_VALUE"""),"Budi Istiyanto")</f>
        <v>Budi Istiyanto</v>
      </c>
      <c r="K345" s="6"/>
      <c r="L345" s="6"/>
      <c r="M345" s="6"/>
      <c r="N345" s="6"/>
      <c r="O345" s="6"/>
      <c r="P345" s="10" t="str">
        <f>IFERROR(__xludf.DUMMYFUNCTION("""COMPUTED_VALUE"""),"Ismi Dwi Purwanti,Budi Istiyanto,,")</f>
        <v>Ismi Dwi Purwanti,Budi Istiyanto,,</v>
      </c>
      <c r="Q345" s="11" t="str">
        <f>IFERROR(__xludf.DUMMYFUNCTION("""COMPUTED_VALUE"""),"https://ojspustek.org/index.php/SJR/article/view/456")</f>
        <v>https://ojspustek.org/index.php/SJR/article/view/456</v>
      </c>
      <c r="R345" s="6"/>
    </row>
    <row r="346">
      <c r="A346" s="5">
        <f>IFERROR(__xludf.DUMMYFUNCTION("""COMPUTED_VALUE"""),345.0)</f>
        <v>345</v>
      </c>
      <c r="B346" s="6" t="str">
        <f>IFERROR(__xludf.DUMMYFUNCTION("""COMPUTED_VALUE"""),"The Effect Of Easy Perception, Benefit Perception, Trust, Experience And Risk On Decision To Use E-Wallet")</f>
        <v>The Effect Of Easy Perception, Benefit Perception, Trust, Experience And Risk On Decision To Use E-Wallet</v>
      </c>
      <c r="C346" s="7">
        <f>IFERROR(__xludf.DUMMYFUNCTION("""COMPUTED_VALUE"""),2022.0)</f>
        <v>2022</v>
      </c>
      <c r="D346" s="8" t="str">
        <f>IFERROR(__xludf.DUMMYFUNCTION("""COMPUTED_VALUE"""),"2021/2022")</f>
        <v>2021/2022</v>
      </c>
      <c r="E346" s="9">
        <f>IFERROR(__xludf.DUMMYFUNCTION("""COMPUTED_VALUE"""),44654.0)</f>
        <v>44654</v>
      </c>
      <c r="F346" s="5" t="str">
        <f>IFERROR(__xludf.DUMMYFUNCTION("""COMPUTED_VALUE"""),"Genap")</f>
        <v>Genap</v>
      </c>
      <c r="G346" s="5" t="str">
        <f>IFERROR(__xludf.DUMMYFUNCTION("""COMPUTED_VALUE"""),"Manajemen")</f>
        <v>Manajemen</v>
      </c>
      <c r="H346" s="10" t="str">
        <f>IFERROR(__xludf.DUMMYFUNCTION("""COMPUTED_VALUE"""),"Dosen")</f>
        <v>Dosen</v>
      </c>
      <c r="I346" s="6" t="str">
        <f>IFERROR(__xludf.DUMMYFUNCTION("""COMPUTED_VALUE"""),"Heny Kurnianingsih")</f>
        <v>Heny Kurnianingsih</v>
      </c>
      <c r="J346" s="6" t="str">
        <f>IFERROR(__xludf.DUMMYFUNCTION("""COMPUTED_VALUE"""),"Risa Afida Nurain")</f>
        <v>Risa Afida Nurain</v>
      </c>
      <c r="K346" s="6" t="str">
        <f>IFERROR(__xludf.DUMMYFUNCTION("""COMPUTED_VALUE"""),"Andri Nurtantiono")</f>
        <v>Andri Nurtantiono</v>
      </c>
      <c r="L346" s="6" t="str">
        <f>IFERROR(__xludf.DUMMYFUNCTION("""COMPUTED_VALUE"""),"Christiawan Hendratmoko")</f>
        <v>Christiawan Hendratmoko</v>
      </c>
      <c r="M346" s="6"/>
      <c r="N346" s="6"/>
      <c r="O346" s="6"/>
      <c r="P346" s="10" t="str">
        <f>IFERROR(__xludf.DUMMYFUNCTION("""COMPUTED_VALUE"""),"Heny Kurnianingsih,Risa Afida Nurain,Andri Nurtantiono,Christiawan Hendratmoko")</f>
        <v>Heny Kurnianingsih,Risa Afida Nurain,Andri Nurtantiono,Christiawan Hendratmoko</v>
      </c>
      <c r="Q346" s="11" t="str">
        <f>IFERROR(__xludf.DUMMYFUNCTION("""COMPUTED_VALUE"""),"https://www.ijmcer.com/volume-4-issue-2/")</f>
        <v>https://www.ijmcer.com/volume-4-issue-2/</v>
      </c>
      <c r="R346" s="6"/>
    </row>
    <row r="347">
      <c r="A347" s="5">
        <f>IFERROR(__xludf.DUMMYFUNCTION("""COMPUTED_VALUE"""),346.0)</f>
        <v>346</v>
      </c>
      <c r="B347" s="6" t="str">
        <f>IFERROR(__xludf.DUMMYFUNCTION("""COMPUTED_VALUE"""),"Analisis Pengaruh Gaya Kepemimpinan, Lingkungan Kerja, Komunikasi, Dan Motivasi Terhadap Kinerja Karyawan Pada Pdam Kota Surakarta")</f>
        <v>Analisis Pengaruh Gaya Kepemimpinan, Lingkungan Kerja, Komunikasi, Dan Motivasi Terhadap Kinerja Karyawan Pada Pdam Kota Surakarta</v>
      </c>
      <c r="C347" s="7">
        <f>IFERROR(__xludf.DUMMYFUNCTION("""COMPUTED_VALUE"""),2022.0)</f>
        <v>2022</v>
      </c>
      <c r="D347" s="8" t="str">
        <f>IFERROR(__xludf.DUMMYFUNCTION("""COMPUTED_VALUE"""),"2021/2022")</f>
        <v>2021/2022</v>
      </c>
      <c r="E347" s="9">
        <f>IFERROR(__xludf.DUMMYFUNCTION("""COMPUTED_VALUE"""),44656.0)</f>
        <v>44656</v>
      </c>
      <c r="F347" s="5" t="str">
        <f>IFERROR(__xludf.DUMMYFUNCTION("""COMPUTED_VALUE"""),"Genap")</f>
        <v>Genap</v>
      </c>
      <c r="G347" s="5" t="str">
        <f>IFERROR(__xludf.DUMMYFUNCTION("""COMPUTED_VALUE"""),"Akuntansi")</f>
        <v>Akuntansi</v>
      </c>
      <c r="H347" s="10" t="str">
        <f>IFERROR(__xludf.DUMMYFUNCTION("""COMPUTED_VALUE"""),"Mahasiswa")</f>
        <v>Mahasiswa</v>
      </c>
      <c r="I347" s="6" t="str">
        <f>IFERROR(__xludf.DUMMYFUNCTION("""COMPUTED_VALUE"""),"Beti Saputri")</f>
        <v>Beti Saputri</v>
      </c>
      <c r="J347" s="6" t="str">
        <f>IFERROR(__xludf.DUMMYFUNCTION("""COMPUTED_VALUE"""),"Tri Ratna Pamikatsih")</f>
        <v>Tri Ratna Pamikatsih</v>
      </c>
      <c r="K347" s="6"/>
      <c r="L347" s="6"/>
      <c r="M347" s="6"/>
      <c r="N347" s="6"/>
      <c r="O347" s="6"/>
      <c r="P347" s="10" t="str">
        <f>IFERROR(__xludf.DUMMYFUNCTION("""COMPUTED_VALUE"""),"Beti Saputri,Tri Ratna Pamikatsih,,")</f>
        <v>Beti Saputri,Tri Ratna Pamikatsih,,</v>
      </c>
      <c r="Q347" s="11" t="str">
        <f>IFERROR(__xludf.DUMMYFUNCTION("""COMPUTED_VALUE"""),"https://ejournal.stiepancasetia.ac.id/jieb/article/view/674")</f>
        <v>https://ejournal.stiepancasetia.ac.id/jieb/article/view/674</v>
      </c>
      <c r="R347" s="6"/>
    </row>
    <row r="348">
      <c r="A348" s="5">
        <f>IFERROR(__xludf.DUMMYFUNCTION("""COMPUTED_VALUE"""),347.0)</f>
        <v>347</v>
      </c>
      <c r="B348" s="6" t="str">
        <f>IFERROR(__xludf.DUMMYFUNCTION("""COMPUTED_VALUE"""),"Analisis Pengaruh Kepatuhan Wajib Pajak Pbb")</f>
        <v>Analisis Pengaruh Kepatuhan Wajib Pajak Pbb</v>
      </c>
      <c r="C348" s="7">
        <f>IFERROR(__xludf.DUMMYFUNCTION("""COMPUTED_VALUE"""),2022.0)</f>
        <v>2022</v>
      </c>
      <c r="D348" s="8" t="str">
        <f>IFERROR(__xludf.DUMMYFUNCTION("""COMPUTED_VALUE"""),"2021/2022")</f>
        <v>2021/2022</v>
      </c>
      <c r="E348" s="9">
        <f>IFERROR(__xludf.DUMMYFUNCTION("""COMPUTED_VALUE"""),44660.0)</f>
        <v>44660</v>
      </c>
      <c r="F348" s="5" t="str">
        <f>IFERROR(__xludf.DUMMYFUNCTION("""COMPUTED_VALUE"""),"Genap")</f>
        <v>Genap</v>
      </c>
      <c r="G348" s="5" t="str">
        <f>IFERROR(__xludf.DUMMYFUNCTION("""COMPUTED_VALUE"""),"Akuntansi")</f>
        <v>Akuntansi</v>
      </c>
      <c r="H348" s="10" t="str">
        <f>IFERROR(__xludf.DUMMYFUNCTION("""COMPUTED_VALUE"""),"Mahasiswa")</f>
        <v>Mahasiswa</v>
      </c>
      <c r="I348" s="6" t="str">
        <f>IFERROR(__xludf.DUMMYFUNCTION("""COMPUTED_VALUE"""),"Florentina Titus Purwaningsih")</f>
        <v>Florentina Titus Purwaningsih</v>
      </c>
      <c r="J348" s="6" t="str">
        <f>IFERROR(__xludf.DUMMYFUNCTION("""COMPUTED_VALUE"""),"Arif Nugroho Rachman")</f>
        <v>Arif Nugroho Rachman</v>
      </c>
      <c r="K348" s="6"/>
      <c r="L348" s="6"/>
      <c r="M348" s="6"/>
      <c r="N348" s="6"/>
      <c r="O348" s="6"/>
      <c r="P348" s="10" t="str">
        <f>IFERROR(__xludf.DUMMYFUNCTION("""COMPUTED_VALUE"""),"Florentina Titus Purwaningsih,Arif Nugroho Rachman,,")</f>
        <v>Florentina Titus Purwaningsih,Arif Nugroho Rachman,,</v>
      </c>
      <c r="Q348" s="11" t="str">
        <f>IFERROR(__xludf.DUMMYFUNCTION("""COMPUTED_VALUE"""),"https://jurnal.stietrisnanegara.ac.id/index.php/aktual/article/view/151")</f>
        <v>https://jurnal.stietrisnanegara.ac.id/index.php/aktual/article/view/151</v>
      </c>
      <c r="R348" s="6"/>
    </row>
    <row r="349">
      <c r="A349" s="5">
        <f>IFERROR(__xludf.DUMMYFUNCTION("""COMPUTED_VALUE"""),348.0)</f>
        <v>348</v>
      </c>
      <c r="B349" s="6" t="str">
        <f>IFERROR(__xludf.DUMMYFUNCTION("""COMPUTED_VALUE"""),"Pelatihan Pitching Session Pengembangan Wirausaha Mandiri pada Destiansi Wisata Borobudur")</f>
        <v>Pelatihan Pitching Session Pengembangan Wirausaha Mandiri pada Destiansi Wisata Borobudur</v>
      </c>
      <c r="C349" s="7">
        <f>IFERROR(__xludf.DUMMYFUNCTION("""COMPUTED_VALUE"""),2022.0)</f>
        <v>2022</v>
      </c>
      <c r="D349" s="8" t="str">
        <f>IFERROR(__xludf.DUMMYFUNCTION("""COMPUTED_VALUE"""),"2021/2022")</f>
        <v>2021/2022</v>
      </c>
      <c r="E349" s="9">
        <f>IFERROR(__xludf.DUMMYFUNCTION("""COMPUTED_VALUE"""),44662.0)</f>
        <v>44662</v>
      </c>
      <c r="F349" s="5" t="str">
        <f>IFERROR(__xludf.DUMMYFUNCTION("""COMPUTED_VALUE"""),"Genap")</f>
        <v>Genap</v>
      </c>
      <c r="G349" s="5" t="str">
        <f>IFERROR(__xludf.DUMMYFUNCTION("""COMPUTED_VALUE"""),"Manajemen")</f>
        <v>Manajemen</v>
      </c>
      <c r="H349" s="10" t="str">
        <f>IFERROR(__xludf.DUMMYFUNCTION("""COMPUTED_VALUE"""),"Dosen")</f>
        <v>Dosen</v>
      </c>
      <c r="I349" s="6" t="str">
        <f>IFERROR(__xludf.DUMMYFUNCTION("""COMPUTED_VALUE"""),"Aditya Liliyan")</f>
        <v>Aditya Liliyan</v>
      </c>
      <c r="J349" s="6"/>
      <c r="K349" s="6"/>
      <c r="L349" s="6"/>
      <c r="M349" s="6"/>
      <c r="N349" s="6"/>
      <c r="O349" s="6"/>
      <c r="P349" s="10" t="str">
        <f>IFERROR(__xludf.DUMMYFUNCTION("""COMPUTED_VALUE"""),"Aditya Liliyan,,,")</f>
        <v>Aditya Liliyan,,,</v>
      </c>
      <c r="Q349" s="11" t="str">
        <f>IFERROR(__xludf.DUMMYFUNCTION("""COMPUTED_VALUE"""),"https://drive.google.com/file/d/1xCWsxO1LxLvTXsMvBn3woXUdmEPVbHYN/view")</f>
        <v>https://drive.google.com/file/d/1xCWsxO1LxLvTXsMvBn3woXUdmEPVbHYN/view</v>
      </c>
      <c r="R349" s="6"/>
    </row>
    <row r="350">
      <c r="A350" s="5">
        <f>IFERROR(__xludf.DUMMYFUNCTION("""COMPUTED_VALUE"""),349.0)</f>
        <v>349</v>
      </c>
      <c r="B350" s="6" t="str">
        <f>IFERROR(__xludf.DUMMYFUNCTION("""COMPUTED_VALUE"""),"Meningkatkan Idealisme Dan Knowledge Level Terhadap Persepsi Etis Creative Accounting")</f>
        <v>Meningkatkan Idealisme Dan Knowledge Level Terhadap Persepsi Etis Creative Accounting</v>
      </c>
      <c r="C350" s="7">
        <f>IFERROR(__xludf.DUMMYFUNCTION("""COMPUTED_VALUE"""),2022.0)</f>
        <v>2022</v>
      </c>
      <c r="D350" s="8" t="str">
        <f>IFERROR(__xludf.DUMMYFUNCTION("""COMPUTED_VALUE"""),"2021/2022")</f>
        <v>2021/2022</v>
      </c>
      <c r="E350" s="9">
        <f>IFERROR(__xludf.DUMMYFUNCTION("""COMPUTED_VALUE"""),44667.0)</f>
        <v>44667</v>
      </c>
      <c r="F350" s="5" t="str">
        <f>IFERROR(__xludf.DUMMYFUNCTION("""COMPUTED_VALUE"""),"Genap")</f>
        <v>Genap</v>
      </c>
      <c r="G350" s="5" t="str">
        <f>IFERROR(__xludf.DUMMYFUNCTION("""COMPUTED_VALUE"""),"Akuntansi")</f>
        <v>Akuntansi</v>
      </c>
      <c r="H350" s="10" t="str">
        <f>IFERROR(__xludf.DUMMYFUNCTION("""COMPUTED_VALUE"""),"Mahasiswa")</f>
        <v>Mahasiswa</v>
      </c>
      <c r="I350" s="6" t="str">
        <f>IFERROR(__xludf.DUMMYFUNCTION("""COMPUTED_VALUE"""),"Lintang kurniawati")</f>
        <v>Lintang kurniawati</v>
      </c>
      <c r="J350" s="6" t="str">
        <f>IFERROR(__xludf.DUMMYFUNCTION("""COMPUTED_VALUE"""),"Rita Wijayanti")</f>
        <v>Rita Wijayanti</v>
      </c>
      <c r="K350" s="6" t="str">
        <f>IFERROR(__xludf.DUMMYFUNCTION("""COMPUTED_VALUE"""),"Nur Kholis")</f>
        <v>Nur Kholis</v>
      </c>
      <c r="L350" s="6" t="str">
        <f>IFERROR(__xludf.DUMMYFUNCTION("""COMPUTED_VALUE"""),"Rosita")</f>
        <v>Rosita</v>
      </c>
      <c r="M350" s="6" t="str">
        <f>IFERROR(__xludf.DUMMYFUNCTION("""COMPUTED_VALUE"""),"Hestin Mutmainah")</f>
        <v>Hestin Mutmainah</v>
      </c>
      <c r="N350" s="6"/>
      <c r="O350" s="6"/>
      <c r="P350" s="10" t="str">
        <f>IFERROR(__xludf.DUMMYFUNCTION("""COMPUTED_VALUE"""),"Lintang kurniawati,Rita Wijayanti,Nur Kholis,Rosita")</f>
        <v>Lintang kurniawati,Rita Wijayanti,Nur Kholis,Rosita</v>
      </c>
      <c r="Q350" s="11" t="str">
        <f>IFERROR(__xludf.DUMMYFUNCTION("""COMPUTED_VALUE"""),"https://jurnal.stietotalwin.ac.id/index.php/pakem/article/view/373")</f>
        <v>https://jurnal.stietotalwin.ac.id/index.php/pakem/article/view/373</v>
      </c>
      <c r="R350" s="6"/>
    </row>
    <row r="351">
      <c r="A351" s="5">
        <f>IFERROR(__xludf.DUMMYFUNCTION("""COMPUTED_VALUE"""),350.0)</f>
        <v>350</v>
      </c>
      <c r="B351" s="6" t="str">
        <f>IFERROR(__xludf.DUMMYFUNCTION("""COMPUTED_VALUE"""),"Perilaku Konsumtif Mahasiswa: Seberapa Besar Peran Financial  Literacy, Life Style, E-money, Dan Self Control")</f>
        <v>Perilaku Konsumtif Mahasiswa: Seberapa Besar Peran Financial  Literacy, Life Style, E-money, Dan Self Control</v>
      </c>
      <c r="C351" s="7">
        <f>IFERROR(__xludf.DUMMYFUNCTION("""COMPUTED_VALUE"""),2022.0)</f>
        <v>2022</v>
      </c>
      <c r="D351" s="8" t="str">
        <f>IFERROR(__xludf.DUMMYFUNCTION("""COMPUTED_VALUE"""),"2021/2022")</f>
        <v>2021/2022</v>
      </c>
      <c r="E351" s="9">
        <f>IFERROR(__xludf.DUMMYFUNCTION("""COMPUTED_VALUE"""),44670.0)</f>
        <v>44670</v>
      </c>
      <c r="F351" s="5" t="str">
        <f>IFERROR(__xludf.DUMMYFUNCTION("""COMPUTED_VALUE"""),"Genap")</f>
        <v>Genap</v>
      </c>
      <c r="G351" s="5" t="str">
        <f>IFERROR(__xludf.DUMMYFUNCTION("""COMPUTED_VALUE"""),"Manajemen")</f>
        <v>Manajemen</v>
      </c>
      <c r="H351" s="10" t="str">
        <f>IFERROR(__xludf.DUMMYFUNCTION("""COMPUTED_VALUE"""),"Mahasiswa")</f>
        <v>Mahasiswa</v>
      </c>
      <c r="I351" s="6" t="str">
        <f>IFERROR(__xludf.DUMMYFUNCTION("""COMPUTED_VALUE"""),"Devi Kusmiati")</f>
        <v>Devi Kusmiati</v>
      </c>
      <c r="J351" s="6" t="str">
        <f>IFERROR(__xludf.DUMMYFUNCTION("""COMPUTED_VALUE"""),"Heny Kurnianingsih")</f>
        <v>Heny Kurnianingsih</v>
      </c>
      <c r="K351" s="6"/>
      <c r="L351" s="6"/>
      <c r="M351" s="6"/>
      <c r="N351" s="6"/>
      <c r="O351" s="6"/>
      <c r="P351" s="10" t="str">
        <f>IFERROR(__xludf.DUMMYFUNCTION("""COMPUTED_VALUE"""),"Devi Kusmiati,Heny Kurnianingsih,,")</f>
        <v>Devi Kusmiati,Heny Kurnianingsih,,</v>
      </c>
      <c r="Q351" s="11" t="str">
        <f>IFERROR(__xludf.DUMMYFUNCTION("""COMPUTED_VALUE"""),"https://jurnal.stie-aas.ac.id/index.php/jie/article/view/4713")</f>
        <v>https://jurnal.stie-aas.ac.id/index.php/jie/article/view/4713</v>
      </c>
      <c r="R351" s="6"/>
    </row>
    <row r="352">
      <c r="A352" s="5">
        <f>IFERROR(__xludf.DUMMYFUNCTION("""COMPUTED_VALUE"""),351.0)</f>
        <v>351</v>
      </c>
      <c r="B352" s="6" t="str">
        <f>IFERROR(__xludf.DUMMYFUNCTION("""COMPUTED_VALUE"""),"Analisis Implementasi Prinsip Character, Capacity, Capital, Collateral, Condition Of Economic, Dan Sharia Dalam Upaya Pencegahan Pembiayaan Murabahah Bermasalah Di Kspps Bmt Nurul Barokah Cabang Sambi")</f>
        <v>Analisis Implementasi Prinsip Character, Capacity, Capital, Collateral, Condition Of Economic, Dan Sharia Dalam Upaya Pencegahan Pembiayaan Murabahah Bermasalah Di Kspps Bmt Nurul Barokah Cabang Sambi</v>
      </c>
      <c r="C352" s="7">
        <f>IFERROR(__xludf.DUMMYFUNCTION("""COMPUTED_VALUE"""),2022.0)</f>
        <v>2022</v>
      </c>
      <c r="D352" s="8" t="str">
        <f>IFERROR(__xludf.DUMMYFUNCTION("""COMPUTED_VALUE"""),"2021/2022")</f>
        <v>2021/2022</v>
      </c>
      <c r="E352" s="9">
        <f>IFERROR(__xludf.DUMMYFUNCTION("""COMPUTED_VALUE"""),44670.0)</f>
        <v>44670</v>
      </c>
      <c r="F352" s="5" t="str">
        <f>IFERROR(__xludf.DUMMYFUNCTION("""COMPUTED_VALUE"""),"Genap")</f>
        <v>Genap</v>
      </c>
      <c r="G352" s="5" t="str">
        <f>IFERROR(__xludf.DUMMYFUNCTION("""COMPUTED_VALUE"""),"Manajemen")</f>
        <v>Manajemen</v>
      </c>
      <c r="H352" s="10" t="str">
        <f>IFERROR(__xludf.DUMMYFUNCTION("""COMPUTED_VALUE"""),"Mahasiswa")</f>
        <v>Mahasiswa</v>
      </c>
      <c r="I352" s="6" t="str">
        <f>IFERROR(__xludf.DUMMYFUNCTION("""COMPUTED_VALUE"""),"Muhammad Kusaini")</f>
        <v>Muhammad Kusaini</v>
      </c>
      <c r="J352" s="6" t="str">
        <f>IFERROR(__xludf.DUMMYFUNCTION("""COMPUTED_VALUE"""),"Heny Kurnianingsih")</f>
        <v>Heny Kurnianingsih</v>
      </c>
      <c r="K352" s="6"/>
      <c r="L352" s="6"/>
      <c r="M352" s="6"/>
      <c r="N352" s="6"/>
      <c r="O352" s="6"/>
      <c r="P352" s="10" t="str">
        <f>IFERROR(__xludf.DUMMYFUNCTION("""COMPUTED_VALUE"""),"Muhammad Kusaini,Heny Kurnianingsih,,")</f>
        <v>Muhammad Kusaini,Heny Kurnianingsih,,</v>
      </c>
      <c r="Q352" s="11" t="str">
        <f>IFERROR(__xludf.DUMMYFUNCTION("""COMPUTED_VALUE"""),"https://ejournal.goacademica.com/index.php/jk/article/view/521")</f>
        <v>https://ejournal.goacademica.com/index.php/jk/article/view/521</v>
      </c>
      <c r="R352" s="6"/>
    </row>
    <row r="353">
      <c r="A353" s="5">
        <f>IFERROR(__xludf.DUMMYFUNCTION("""COMPUTED_VALUE"""),352.0)</f>
        <v>352</v>
      </c>
      <c r="B353" s="6" t="str">
        <f>IFERROR(__xludf.DUMMYFUNCTION("""COMPUTED_VALUE"""),"Determinasi Harga Saham Perusahaan Transportasi yang Terdaftar di Bursa Efek Indonesia Tahun 2015-2019")</f>
        <v>Determinasi Harga Saham Perusahaan Transportasi yang Terdaftar di Bursa Efek Indonesia Tahun 2015-2019</v>
      </c>
      <c r="C353" s="7">
        <f>IFERROR(__xludf.DUMMYFUNCTION("""COMPUTED_VALUE"""),2022.0)</f>
        <v>2022</v>
      </c>
      <c r="D353" s="8" t="str">
        <f>IFERROR(__xludf.DUMMYFUNCTION("""COMPUTED_VALUE"""),"2021/2022")</f>
        <v>2021/2022</v>
      </c>
      <c r="E353" s="9">
        <f>IFERROR(__xludf.DUMMYFUNCTION("""COMPUTED_VALUE"""),44672.0)</f>
        <v>44672</v>
      </c>
      <c r="F353" s="5" t="str">
        <f>IFERROR(__xludf.DUMMYFUNCTION("""COMPUTED_VALUE"""),"Genap")</f>
        <v>Genap</v>
      </c>
      <c r="G353" s="5" t="str">
        <f>IFERROR(__xludf.DUMMYFUNCTION("""COMPUTED_VALUE"""),"Akuntansi")</f>
        <v>Akuntansi</v>
      </c>
      <c r="H353" s="10" t="str">
        <f>IFERROR(__xludf.DUMMYFUNCTION("""COMPUTED_VALUE"""),"Dosen")</f>
        <v>Dosen</v>
      </c>
      <c r="I353" s="6" t="str">
        <f>IFERROR(__xludf.DUMMYFUNCTION("""COMPUTED_VALUE"""),"Arif Nugroho Rachman")</f>
        <v>Arif Nugroho Rachman</v>
      </c>
      <c r="J353" s="6" t="str">
        <f>IFERROR(__xludf.DUMMYFUNCTION("""COMPUTED_VALUE"""),"Aviony Charisa Putri")</f>
        <v>Aviony Charisa Putri</v>
      </c>
      <c r="K353" s="6"/>
      <c r="L353" s="6"/>
      <c r="M353" s="6"/>
      <c r="N353" s="6"/>
      <c r="O353" s="6"/>
      <c r="P353" s="10" t="str">
        <f>IFERROR(__xludf.DUMMYFUNCTION("""COMPUTED_VALUE"""),"Arif Nugroho Rachman,Aviony Charisa Putri,,")</f>
        <v>Arif Nugroho Rachman,Aviony Charisa Putri,,</v>
      </c>
      <c r="Q353" s="11" t="str">
        <f>IFERROR(__xludf.DUMMYFUNCTION("""COMPUTED_VALUE"""),"https://drive.google.com/file/d/1dvab1HqXxkohTZFD618aeZCX5_y67FO4/view?usp=drive_link")</f>
        <v>https://drive.google.com/file/d/1dvab1HqXxkohTZFD618aeZCX5_y67FO4/view?usp=drive_link</v>
      </c>
      <c r="R353" s="11" t="str">
        <f>IFERROR(__xludf.DUMMYFUNCTION("""COMPUTED_VALUE"""),"https://financial.ac.id/index.php/financial/article/view/211")</f>
        <v>https://financial.ac.id/index.php/financial/article/view/211</v>
      </c>
    </row>
    <row r="354">
      <c r="A354" s="5">
        <f>IFERROR(__xludf.DUMMYFUNCTION("""COMPUTED_VALUE"""),353.0)</f>
        <v>353</v>
      </c>
      <c r="B354" s="6" t="str">
        <f>IFERROR(__xludf.DUMMYFUNCTION("""COMPUTED_VALUE"""),"Pengaruh Fanatisme, Packaging, Promotion, dan Product Innovation terhadap Keputusan Pembelian Produk BTS Meal Mcdonald’s di Soloraya")</f>
        <v>Pengaruh Fanatisme, Packaging, Promotion, dan Product Innovation terhadap Keputusan Pembelian Produk BTS Meal Mcdonald’s di Soloraya</v>
      </c>
      <c r="C354" s="7">
        <f>IFERROR(__xludf.DUMMYFUNCTION("""COMPUTED_VALUE"""),2022.0)</f>
        <v>2022</v>
      </c>
      <c r="D354" s="8" t="str">
        <f>IFERROR(__xludf.DUMMYFUNCTION("""COMPUTED_VALUE"""),"2021/2022")</f>
        <v>2021/2022</v>
      </c>
      <c r="E354" s="9">
        <f>IFERROR(__xludf.DUMMYFUNCTION("""COMPUTED_VALUE"""),44672.0)</f>
        <v>44672</v>
      </c>
      <c r="F354" s="5" t="str">
        <f>IFERROR(__xludf.DUMMYFUNCTION("""COMPUTED_VALUE"""),"Genap")</f>
        <v>Genap</v>
      </c>
      <c r="G354" s="5" t="str">
        <f>IFERROR(__xludf.DUMMYFUNCTION("""COMPUTED_VALUE"""),"Manajemen")</f>
        <v>Manajemen</v>
      </c>
      <c r="H354" s="10" t="str">
        <f>IFERROR(__xludf.DUMMYFUNCTION("""COMPUTED_VALUE"""),"Mahasiswa")</f>
        <v>Mahasiswa</v>
      </c>
      <c r="I354" s="6" t="str">
        <f>IFERROR(__xludf.DUMMYFUNCTION("""COMPUTED_VALUE"""),"Yelia Nova Khoiriah")</f>
        <v>Yelia Nova Khoiriah</v>
      </c>
      <c r="J354" s="6" t="str">
        <f>IFERROR(__xludf.DUMMYFUNCTION("""COMPUTED_VALUE"""),"Ginanjar Rahmawan")</f>
        <v>Ginanjar Rahmawan</v>
      </c>
      <c r="K354" s="6"/>
      <c r="L354" s="6"/>
      <c r="M354" s="6"/>
      <c r="N354" s="6"/>
      <c r="O354" s="6"/>
      <c r="P354" s="10" t="str">
        <f>IFERROR(__xludf.DUMMYFUNCTION("""COMPUTED_VALUE"""),"Yelia Nova Khoiriah,Ginanjar Rahmawan,,")</f>
        <v>Yelia Nova Khoiriah,Ginanjar Rahmawan,,</v>
      </c>
      <c r="Q354" s="11" t="str">
        <f>IFERROR(__xludf.DUMMYFUNCTION("""COMPUTED_VALUE"""),"https://jiss.publikasiindonesia.id/index.php/jiss/article/view/574")</f>
        <v>https://jiss.publikasiindonesia.id/index.php/jiss/article/view/574</v>
      </c>
      <c r="R354" s="6"/>
    </row>
    <row r="355">
      <c r="A355" s="5">
        <f>IFERROR(__xludf.DUMMYFUNCTION("""COMPUTED_VALUE"""),354.0)</f>
        <v>354</v>
      </c>
      <c r="B355" s="6" t="str">
        <f>IFERROR(__xludf.DUMMYFUNCTION("""COMPUTED_VALUE"""),"FAKTOR - FAKTOR YANG MEMPENGARUHI KINERJA SISTEM INFORMASI AKUNTANSI PADA PT DHARMA HUSADA MANDIRI")</f>
        <v>FAKTOR - FAKTOR YANG MEMPENGARUHI KINERJA SISTEM INFORMASI AKUNTANSI PADA PT DHARMA HUSADA MANDIRI</v>
      </c>
      <c r="C355" s="7">
        <f>IFERROR(__xludf.DUMMYFUNCTION("""COMPUTED_VALUE"""),2022.0)</f>
        <v>2022</v>
      </c>
      <c r="D355" s="8" t="str">
        <f>IFERROR(__xludf.DUMMYFUNCTION("""COMPUTED_VALUE"""),"2021/2022")</f>
        <v>2021/2022</v>
      </c>
      <c r="E355" s="9">
        <f>IFERROR(__xludf.DUMMYFUNCTION("""COMPUTED_VALUE"""),44674.0)</f>
        <v>44674</v>
      </c>
      <c r="F355" s="5" t="str">
        <f>IFERROR(__xludf.DUMMYFUNCTION("""COMPUTED_VALUE"""),"Genap")</f>
        <v>Genap</v>
      </c>
      <c r="G355" s="5" t="str">
        <f>IFERROR(__xludf.DUMMYFUNCTION("""COMPUTED_VALUE"""),"Akuntansi")</f>
        <v>Akuntansi</v>
      </c>
      <c r="H355" s="10" t="str">
        <f>IFERROR(__xludf.DUMMYFUNCTION("""COMPUTED_VALUE"""),"Mahasiswa")</f>
        <v>Mahasiswa</v>
      </c>
      <c r="I355" s="6" t="str">
        <f>IFERROR(__xludf.DUMMYFUNCTION("""COMPUTED_VALUE"""),"Evanti Andriyani")</f>
        <v>Evanti Andriyani</v>
      </c>
      <c r="J355" s="6" t="str">
        <f>IFERROR(__xludf.DUMMYFUNCTION("""COMPUTED_VALUE"""),"Eko Triyanto")</f>
        <v>Eko Triyanto</v>
      </c>
      <c r="K355" s="6"/>
      <c r="L355" s="6"/>
      <c r="M355" s="6"/>
      <c r="N355" s="6"/>
      <c r="O355" s="6"/>
      <c r="P355" s="10" t="str">
        <f>IFERROR(__xludf.DUMMYFUNCTION("""COMPUTED_VALUE"""),"Evanti Andriyani,Eko Triyanto,,")</f>
        <v>Evanti Andriyani,Eko Triyanto,,</v>
      </c>
      <c r="Q355" s="11" t="str">
        <f>IFERROR(__xludf.DUMMYFUNCTION("""COMPUTED_VALUE"""),"https://bajangjournal.com/index.php/JCI/article/view/2019")</f>
        <v>https://bajangjournal.com/index.php/JCI/article/view/2019</v>
      </c>
      <c r="R355" s="6"/>
    </row>
    <row r="356">
      <c r="A356" s="5">
        <f>IFERROR(__xludf.DUMMYFUNCTION("""COMPUTED_VALUE"""),355.0)</f>
        <v>355</v>
      </c>
      <c r="B356" s="6" t="str">
        <f>IFERROR(__xludf.DUMMYFUNCTION("""COMPUTED_VALUE"""),"PENGARUH FANATISME, PACKAGING, PROMOTION DAN PRODUCT INOVATION TERHADAP KEPUTUSAN PEMBELIAN PRODUK BTS MEAL MCDONALD'S DISOLORAYA")</f>
        <v>PENGARUH FANATISME, PACKAGING, PROMOTION DAN PRODUCT INOVATION TERHADAP KEPUTUSAN PEMBELIAN PRODUK BTS MEAL MCDONALD'S DISOLORAYA</v>
      </c>
      <c r="C356" s="7">
        <f>IFERROR(__xludf.DUMMYFUNCTION("""COMPUTED_VALUE"""),2022.0)</f>
        <v>2022</v>
      </c>
      <c r="D356" s="8" t="str">
        <f>IFERROR(__xludf.DUMMYFUNCTION("""COMPUTED_VALUE"""),"2021/2022")</f>
        <v>2021/2022</v>
      </c>
      <c r="E356" s="9">
        <f>IFERROR(__xludf.DUMMYFUNCTION("""COMPUTED_VALUE"""),44678.0)</f>
        <v>44678</v>
      </c>
      <c r="F356" s="5" t="str">
        <f>IFERROR(__xludf.DUMMYFUNCTION("""COMPUTED_VALUE"""),"Genap")</f>
        <v>Genap</v>
      </c>
      <c r="G356" s="5" t="str">
        <f>IFERROR(__xludf.DUMMYFUNCTION("""COMPUTED_VALUE"""),"Manajemen")</f>
        <v>Manajemen</v>
      </c>
      <c r="H356" s="10" t="str">
        <f>IFERROR(__xludf.DUMMYFUNCTION("""COMPUTED_VALUE"""),"Mahasiswa")</f>
        <v>Mahasiswa</v>
      </c>
      <c r="I356" s="6" t="str">
        <f>IFERROR(__xludf.DUMMYFUNCTION("""COMPUTED_VALUE"""),"Yelia Nova Khoiriah")</f>
        <v>Yelia Nova Khoiriah</v>
      </c>
      <c r="J356" s="6" t="str">
        <f>IFERROR(__xludf.DUMMYFUNCTION("""COMPUTED_VALUE"""),"Ginanjar Rahmawan")</f>
        <v>Ginanjar Rahmawan</v>
      </c>
      <c r="K356" s="6"/>
      <c r="L356" s="6"/>
      <c r="M356" s="6"/>
      <c r="N356" s="6"/>
      <c r="O356" s="6"/>
      <c r="P356" s="10" t="str">
        <f>IFERROR(__xludf.DUMMYFUNCTION("""COMPUTED_VALUE"""),"Yelia Nova Khoiriah,Ginanjar Rahmawan,,")</f>
        <v>Yelia Nova Khoiriah,Ginanjar Rahmawan,,</v>
      </c>
      <c r="Q356" s="11" t="str">
        <f>IFERROR(__xludf.DUMMYFUNCTION("""COMPUTED_VALUE"""),"https://jiss.publikasiindonesia.id/index.php/jiss/article/view/574")</f>
        <v>https://jiss.publikasiindonesia.id/index.php/jiss/article/view/574</v>
      </c>
      <c r="R356" s="6"/>
    </row>
    <row r="357">
      <c r="A357" s="5">
        <f>IFERROR(__xludf.DUMMYFUNCTION("""COMPUTED_VALUE"""),356.0)</f>
        <v>356</v>
      </c>
      <c r="B357" s="6" t="str">
        <f>IFERROR(__xludf.DUMMYFUNCTION("""COMPUTED_VALUE"""),"Motivasi Kerja, Tingkat Pendidikan, Kepemimpinan, dan Lingkungan Kerja Terhadap Kinerja Karyawan PT BPR Bank Boyolali")</f>
        <v>Motivasi Kerja, Tingkat Pendidikan, Kepemimpinan, dan Lingkungan Kerja Terhadap Kinerja Karyawan PT BPR Bank Boyolali</v>
      </c>
      <c r="C357" s="7">
        <f>IFERROR(__xludf.DUMMYFUNCTION("""COMPUTED_VALUE"""),2022.0)</f>
        <v>2022</v>
      </c>
      <c r="D357" s="8" t="str">
        <f>IFERROR(__xludf.DUMMYFUNCTION("""COMPUTED_VALUE"""),"2021/2022")</f>
        <v>2021/2022</v>
      </c>
      <c r="E357" s="9">
        <f>IFERROR(__xludf.DUMMYFUNCTION("""COMPUTED_VALUE"""),44679.0)</f>
        <v>44679</v>
      </c>
      <c r="F357" s="5" t="str">
        <f>IFERROR(__xludf.DUMMYFUNCTION("""COMPUTED_VALUE"""),"Genap")</f>
        <v>Genap</v>
      </c>
      <c r="G357" s="5" t="str">
        <f>IFERROR(__xludf.DUMMYFUNCTION("""COMPUTED_VALUE"""),"Manajemen")</f>
        <v>Manajemen</v>
      </c>
      <c r="H357" s="10" t="str">
        <f>IFERROR(__xludf.DUMMYFUNCTION("""COMPUTED_VALUE"""),"Mahasiswa")</f>
        <v>Mahasiswa</v>
      </c>
      <c r="I357" s="6" t="str">
        <f>IFERROR(__xludf.DUMMYFUNCTION("""COMPUTED_VALUE"""),"Titik Purwani")</f>
        <v>Titik Purwani</v>
      </c>
      <c r="J357" s="6" t="str">
        <f>IFERROR(__xludf.DUMMYFUNCTION("""COMPUTED_VALUE"""),"Budi Istiyanto")</f>
        <v>Budi Istiyanto</v>
      </c>
      <c r="K357" s="6"/>
      <c r="L357" s="6"/>
      <c r="M357" s="6"/>
      <c r="N357" s="6"/>
      <c r="O357" s="6"/>
      <c r="P357" s="10" t="str">
        <f>IFERROR(__xludf.DUMMYFUNCTION("""COMPUTED_VALUE"""),"Titik Purwani,Budi Istiyanto,,")</f>
        <v>Titik Purwani,Budi Istiyanto,,</v>
      </c>
      <c r="Q357" s="11" t="str">
        <f>IFERROR(__xludf.DUMMYFUNCTION("""COMPUTED_VALUE"""),"https://jurnal.unej.ac.id/index.php/JEAM/article/view/30341")</f>
        <v>https://jurnal.unej.ac.id/index.php/JEAM/article/view/30341</v>
      </c>
      <c r="R357" s="6"/>
    </row>
    <row r="358">
      <c r="A358" s="5">
        <f>IFERROR(__xludf.DUMMYFUNCTION("""COMPUTED_VALUE"""),357.0)</f>
        <v>357</v>
      </c>
      <c r="B358" s="6" t="str">
        <f>IFERROR(__xludf.DUMMYFUNCTION("""COMPUTED_VALUE"""),"Pengaruh Pengalaman Pelanggan, Kesadaran Merek Dan Kepuasaan Pelanggan Terhadap Loyalitas Pelanggan Pada Ella Skin Care Di Cabang Gentan")</f>
        <v>Pengaruh Pengalaman Pelanggan, Kesadaran Merek Dan Kepuasaan Pelanggan Terhadap Loyalitas Pelanggan Pada Ella Skin Care Di Cabang Gentan</v>
      </c>
      <c r="C358" s="7">
        <f>IFERROR(__xludf.DUMMYFUNCTION("""COMPUTED_VALUE"""),2022.0)</f>
        <v>2022</v>
      </c>
      <c r="D358" s="8" t="str">
        <f>IFERROR(__xludf.DUMMYFUNCTION("""COMPUTED_VALUE"""),"2021/2022")</f>
        <v>2021/2022</v>
      </c>
      <c r="E358" s="9">
        <f>IFERROR(__xludf.DUMMYFUNCTION("""COMPUTED_VALUE"""),44679.0)</f>
        <v>44679</v>
      </c>
      <c r="F358" s="5" t="str">
        <f>IFERROR(__xludf.DUMMYFUNCTION("""COMPUTED_VALUE"""),"Genap")</f>
        <v>Genap</v>
      </c>
      <c r="G358" s="5" t="str">
        <f>IFERROR(__xludf.DUMMYFUNCTION("""COMPUTED_VALUE"""),"Manajemen")</f>
        <v>Manajemen</v>
      </c>
      <c r="H358" s="10" t="str">
        <f>IFERROR(__xludf.DUMMYFUNCTION("""COMPUTED_VALUE"""),"Mahasiswa")</f>
        <v>Mahasiswa</v>
      </c>
      <c r="I358" s="6" t="str">
        <f>IFERROR(__xludf.DUMMYFUNCTION("""COMPUTED_VALUE"""),"Leedi Setiawati")</f>
        <v>Leedi Setiawati</v>
      </c>
      <c r="J358" s="6" t="str">
        <f>IFERROR(__xludf.DUMMYFUNCTION("""COMPUTED_VALUE"""),"Ari Susanti")</f>
        <v>Ari Susanti</v>
      </c>
      <c r="K358" s="6"/>
      <c r="L358" s="6"/>
      <c r="M358" s="6"/>
      <c r="N358" s="6"/>
      <c r="O358" s="6"/>
      <c r="P358" s="10" t="str">
        <f>IFERROR(__xludf.DUMMYFUNCTION("""COMPUTED_VALUE"""),"Leedi Setiawati,Ari Susanti,,")</f>
        <v>Leedi Setiawati,Ari Susanti,,</v>
      </c>
      <c r="Q358" s="11" t="str">
        <f>IFERROR(__xludf.DUMMYFUNCTION("""COMPUTED_VALUE"""),"https://jeam.jurnal.unej.ac.id/index.php/JEAM/article/view/30311")</f>
        <v>https://jeam.jurnal.unej.ac.id/index.php/JEAM/article/view/30311</v>
      </c>
      <c r="R358" s="6"/>
    </row>
    <row r="359">
      <c r="A359" s="5">
        <f>IFERROR(__xludf.DUMMYFUNCTION("""COMPUTED_VALUE"""),358.0)</f>
        <v>358</v>
      </c>
      <c r="B359" s="6" t="str">
        <f>IFERROR(__xludf.DUMMYFUNCTION("""COMPUTED_VALUE"""),"Pengaruh Mitos Pada Pembelian Susu Bear Brand Sebagai Penangkal Virus Corona (Studi Kasus Konsumen Susu Bear Brand)")</f>
        <v>Pengaruh Mitos Pada Pembelian Susu Bear Brand Sebagai Penangkal Virus Corona (Studi Kasus Konsumen Susu Bear Brand)</v>
      </c>
      <c r="C359" s="7">
        <f>IFERROR(__xludf.DUMMYFUNCTION("""COMPUTED_VALUE"""),2022.0)</f>
        <v>2022</v>
      </c>
      <c r="D359" s="8" t="str">
        <f>IFERROR(__xludf.DUMMYFUNCTION("""COMPUTED_VALUE"""),"2021/2022")</f>
        <v>2021/2022</v>
      </c>
      <c r="E359" s="9">
        <f>IFERROR(__xludf.DUMMYFUNCTION("""COMPUTED_VALUE"""),44680.0)</f>
        <v>44680</v>
      </c>
      <c r="F359" s="5" t="str">
        <f>IFERROR(__xludf.DUMMYFUNCTION("""COMPUTED_VALUE"""),"Genap")</f>
        <v>Genap</v>
      </c>
      <c r="G359" s="5" t="str">
        <f>IFERROR(__xludf.DUMMYFUNCTION("""COMPUTED_VALUE"""),"Manajemen")</f>
        <v>Manajemen</v>
      </c>
      <c r="H359" s="10" t="str">
        <f>IFERROR(__xludf.DUMMYFUNCTION("""COMPUTED_VALUE"""),"Mahasiswa")</f>
        <v>Mahasiswa</v>
      </c>
      <c r="I359" s="6" t="str">
        <f>IFERROR(__xludf.DUMMYFUNCTION("""COMPUTED_VALUE"""),"Reni Kurnia Ferdiana")</f>
        <v>Reni Kurnia Ferdiana</v>
      </c>
      <c r="J359" s="6" t="str">
        <f>IFERROR(__xludf.DUMMYFUNCTION("""COMPUTED_VALUE"""),"Ginanjar Rahmawan")</f>
        <v>Ginanjar Rahmawan</v>
      </c>
      <c r="K359" s="6"/>
      <c r="L359" s="6"/>
      <c r="M359" s="6"/>
      <c r="N359" s="6"/>
      <c r="O359" s="6"/>
      <c r="P359" s="10" t="str">
        <f>IFERROR(__xludf.DUMMYFUNCTION("""COMPUTED_VALUE"""),"Reni Kurnia Ferdiana,Ginanjar Rahmawan,,")</f>
        <v>Reni Kurnia Ferdiana,Ginanjar Rahmawan,,</v>
      </c>
      <c r="Q359" s="11" t="str">
        <f>IFERROR(__xludf.DUMMYFUNCTION("""COMPUTED_VALUE"""),"https://ejournal.goacademica.com/index.php/jk/article/view/531")</f>
        <v>https://ejournal.goacademica.com/index.php/jk/article/view/531</v>
      </c>
      <c r="R359" s="6"/>
    </row>
    <row r="360">
      <c r="A360" s="5">
        <f>IFERROR(__xludf.DUMMYFUNCTION("""COMPUTED_VALUE"""),359.0)</f>
        <v>359</v>
      </c>
      <c r="B360" s="6" t="str">
        <f>IFERROR(__xludf.DUMMYFUNCTION("""COMPUTED_VALUE"""),"Pengaruh Green Life Style, Futuristic Design, Technology Dan Confidence Terhadap Minat Beli Mobil Listrik")</f>
        <v>Pengaruh Green Life Style, Futuristic Design, Technology Dan Confidence Terhadap Minat Beli Mobil Listrik</v>
      </c>
      <c r="C360" s="7">
        <f>IFERROR(__xludf.DUMMYFUNCTION("""COMPUTED_VALUE"""),2022.0)</f>
        <v>2022</v>
      </c>
      <c r="D360" s="8" t="str">
        <f>IFERROR(__xludf.DUMMYFUNCTION("""COMPUTED_VALUE"""),"2021/2022")</f>
        <v>2021/2022</v>
      </c>
      <c r="E360" s="9">
        <f>IFERROR(__xludf.DUMMYFUNCTION("""COMPUTED_VALUE"""),44680.0)</f>
        <v>44680</v>
      </c>
      <c r="F360" s="5" t="str">
        <f>IFERROR(__xludf.DUMMYFUNCTION("""COMPUTED_VALUE"""),"Genap")</f>
        <v>Genap</v>
      </c>
      <c r="G360" s="5" t="str">
        <f>IFERROR(__xludf.DUMMYFUNCTION("""COMPUTED_VALUE"""),"Manajemen")</f>
        <v>Manajemen</v>
      </c>
      <c r="H360" s="10" t="str">
        <f>IFERROR(__xludf.DUMMYFUNCTION("""COMPUTED_VALUE"""),"Mahasiswa")</f>
        <v>Mahasiswa</v>
      </c>
      <c r="I360" s="6" t="str">
        <f>IFERROR(__xludf.DUMMYFUNCTION("""COMPUTED_VALUE"""),"Shinta Aprika Putri")</f>
        <v>Shinta Aprika Putri</v>
      </c>
      <c r="J360" s="6" t="str">
        <f>IFERROR(__xludf.DUMMYFUNCTION("""COMPUTED_VALUE"""),"Ginanjar Rahmawan")</f>
        <v>Ginanjar Rahmawan</v>
      </c>
      <c r="K360" s="6"/>
      <c r="L360" s="6"/>
      <c r="M360" s="6"/>
      <c r="N360" s="6"/>
      <c r="O360" s="6"/>
      <c r="P360" s="10" t="str">
        <f>IFERROR(__xludf.DUMMYFUNCTION("""COMPUTED_VALUE"""),"Shinta Aprika Putri,Ginanjar Rahmawan,,")</f>
        <v>Shinta Aprika Putri,Ginanjar Rahmawan,,</v>
      </c>
      <c r="Q360" s="11" t="str">
        <f>IFERROR(__xludf.DUMMYFUNCTION("""COMPUTED_VALUE"""),"https://ejournal.goacademica.com/index.php/jk/article/view/532")</f>
        <v>https://ejournal.goacademica.com/index.php/jk/article/view/532</v>
      </c>
      <c r="R360" s="6"/>
    </row>
    <row r="361">
      <c r="A361" s="5">
        <f>IFERROR(__xludf.DUMMYFUNCTION("""COMPUTED_VALUE"""),360.0)</f>
        <v>360</v>
      </c>
      <c r="B361" s="6" t="str">
        <f>IFERROR(__xludf.DUMMYFUNCTION("""COMPUTED_VALUE"""),"Pengaruh Mitos Pada Pembelian Susu Bear Brand Sebagai Penangkal Virus Corona: Studi Kasus Konsumen Susu Bear Brand")</f>
        <v>Pengaruh Mitos Pada Pembelian Susu Bear Brand Sebagai Penangkal Virus Corona: Studi Kasus Konsumen Susu Bear Brand</v>
      </c>
      <c r="C361" s="7">
        <f>IFERROR(__xludf.DUMMYFUNCTION("""COMPUTED_VALUE"""),2022.0)</f>
        <v>2022</v>
      </c>
      <c r="D361" s="8" t="str">
        <f>IFERROR(__xludf.DUMMYFUNCTION("""COMPUTED_VALUE"""),"2021/2022")</f>
        <v>2021/2022</v>
      </c>
      <c r="E361" s="9">
        <f>IFERROR(__xludf.DUMMYFUNCTION("""COMPUTED_VALUE"""),44680.0)</f>
        <v>44680</v>
      </c>
      <c r="F361" s="5" t="str">
        <f>IFERROR(__xludf.DUMMYFUNCTION("""COMPUTED_VALUE"""),"Genap")</f>
        <v>Genap</v>
      </c>
      <c r="G361" s="5" t="str">
        <f>IFERROR(__xludf.DUMMYFUNCTION("""COMPUTED_VALUE"""),"Manajemen")</f>
        <v>Manajemen</v>
      </c>
      <c r="H361" s="10" t="str">
        <f>IFERROR(__xludf.DUMMYFUNCTION("""COMPUTED_VALUE"""),"Mahasiswa")</f>
        <v>Mahasiswa</v>
      </c>
      <c r="I361" s="6" t="str">
        <f>IFERROR(__xludf.DUMMYFUNCTION("""COMPUTED_VALUE"""),"Reni Kurnia Ferdiana")</f>
        <v>Reni Kurnia Ferdiana</v>
      </c>
      <c r="J361" s="6" t="str">
        <f>IFERROR(__xludf.DUMMYFUNCTION("""COMPUTED_VALUE"""),"Ginanjar Rahmawan")</f>
        <v>Ginanjar Rahmawan</v>
      </c>
      <c r="K361" s="6"/>
      <c r="L361" s="6"/>
      <c r="M361" s="6"/>
      <c r="N361" s="6"/>
      <c r="O361" s="6"/>
      <c r="P361" s="10" t="str">
        <f>IFERROR(__xludf.DUMMYFUNCTION("""COMPUTED_VALUE"""),"Reni Kurnia Ferdiana,Ginanjar Rahmawan,,")</f>
        <v>Reni Kurnia Ferdiana,Ginanjar Rahmawan,,</v>
      </c>
      <c r="Q361" s="11" t="str">
        <f>IFERROR(__xludf.DUMMYFUNCTION("""COMPUTED_VALUE"""),"https://ejournal.goacademica.com/index.php/jk/article/view/531")</f>
        <v>https://ejournal.goacademica.com/index.php/jk/article/view/531</v>
      </c>
      <c r="R361" s="6"/>
    </row>
    <row r="362">
      <c r="A362" s="5">
        <f>IFERROR(__xludf.DUMMYFUNCTION("""COMPUTED_VALUE"""),361.0)</f>
        <v>361</v>
      </c>
      <c r="B362" s="6" t="str">
        <f>IFERROR(__xludf.DUMMYFUNCTION("""COMPUTED_VALUE"""),"Pengaruh Kesadaran, Pengetahuan, Pelayanan Fiskus Dan Sanksi Perpajakan Terhadap Kepatuhan Wajib Pajak Orang Pribadi Di Kota Surakarta")</f>
        <v>Pengaruh Kesadaran, Pengetahuan, Pelayanan Fiskus Dan Sanksi Perpajakan Terhadap Kepatuhan Wajib Pajak Orang Pribadi Di Kota Surakarta</v>
      </c>
      <c r="C362" s="7">
        <f>IFERROR(__xludf.DUMMYFUNCTION("""COMPUTED_VALUE"""),2022.0)</f>
        <v>2022</v>
      </c>
      <c r="D362" s="8" t="str">
        <f>IFERROR(__xludf.DUMMYFUNCTION("""COMPUTED_VALUE"""),"2021/2022")</f>
        <v>2021/2022</v>
      </c>
      <c r="E362" s="9">
        <f>IFERROR(__xludf.DUMMYFUNCTION("""COMPUTED_VALUE"""),44680.0)</f>
        <v>44680</v>
      </c>
      <c r="F362" s="5" t="str">
        <f>IFERROR(__xludf.DUMMYFUNCTION("""COMPUTED_VALUE"""),"Genap")</f>
        <v>Genap</v>
      </c>
      <c r="G362" s="5" t="str">
        <f>IFERROR(__xludf.DUMMYFUNCTION("""COMPUTED_VALUE"""),"Akuntansi")</f>
        <v>Akuntansi</v>
      </c>
      <c r="H362" s="10" t="str">
        <f>IFERROR(__xludf.DUMMYFUNCTION("""COMPUTED_VALUE"""),"Mahasiswa")</f>
        <v>Mahasiswa</v>
      </c>
      <c r="I362" s="6" t="str">
        <f>IFERROR(__xludf.DUMMYFUNCTION("""COMPUTED_VALUE"""),"Sukma Trihana")</f>
        <v>Sukma Trihana</v>
      </c>
      <c r="J362" s="6" t="str">
        <f>IFERROR(__xludf.DUMMYFUNCTION("""COMPUTED_VALUE"""),"Ismunawan")</f>
        <v>Ismunawan</v>
      </c>
      <c r="K362" s="6"/>
      <c r="L362" s="6"/>
      <c r="M362" s="6"/>
      <c r="N362" s="6"/>
      <c r="O362" s="6"/>
      <c r="P362" s="10" t="str">
        <f>IFERROR(__xludf.DUMMYFUNCTION("""COMPUTED_VALUE"""),"Sukma Trihana,Ismunawan,,")</f>
        <v>Sukma Trihana,Ismunawan,,</v>
      </c>
      <c r="Q362" s="11" t="str">
        <f>IFERROR(__xludf.DUMMYFUNCTION("""COMPUTED_VALUE"""),"https://ejournal.stpmataram.ac.id/JIP/article/view/1511")</f>
        <v>https://ejournal.stpmataram.ac.id/JIP/article/view/1511</v>
      </c>
      <c r="R362" s="6"/>
    </row>
    <row r="363">
      <c r="A363" s="5">
        <f>IFERROR(__xludf.DUMMYFUNCTION("""COMPUTED_VALUE"""),362.0)</f>
        <v>362</v>
      </c>
      <c r="B363" s="6" t="str">
        <f>IFERROR(__xludf.DUMMYFUNCTION("""COMPUTED_VALUE"""),"PENGARUH PERCEIVED SERVICE QUALITY, PERCEIVED VALUE, CUSTOMER SATISFACTION TERHADAP CUSTOMER LOYALTY PENGGUNA JASA GRABFOOD DISOLORAYA")</f>
        <v>PENGARUH PERCEIVED SERVICE QUALITY, PERCEIVED VALUE, CUSTOMER SATISFACTION TERHADAP CUSTOMER LOYALTY PENGGUNA JASA GRABFOOD DISOLORAYA</v>
      </c>
      <c r="C363" s="7">
        <f>IFERROR(__xludf.DUMMYFUNCTION("""COMPUTED_VALUE"""),2022.0)</f>
        <v>2022</v>
      </c>
      <c r="D363" s="8" t="str">
        <f>IFERROR(__xludf.DUMMYFUNCTION("""COMPUTED_VALUE"""),"2021/2022")</f>
        <v>2021/2022</v>
      </c>
      <c r="E363" s="9">
        <f>IFERROR(__xludf.DUMMYFUNCTION("""COMPUTED_VALUE"""),44681.0)</f>
        <v>44681</v>
      </c>
      <c r="F363" s="5" t="str">
        <f>IFERROR(__xludf.DUMMYFUNCTION("""COMPUTED_VALUE"""),"Genap")</f>
        <v>Genap</v>
      </c>
      <c r="G363" s="5" t="str">
        <f>IFERROR(__xludf.DUMMYFUNCTION("""COMPUTED_VALUE"""),"Manajemen")</f>
        <v>Manajemen</v>
      </c>
      <c r="H363" s="10" t="str">
        <f>IFERROR(__xludf.DUMMYFUNCTION("""COMPUTED_VALUE"""),"Mahasiswa")</f>
        <v>Mahasiswa</v>
      </c>
      <c r="I363" s="6" t="str">
        <f>IFERROR(__xludf.DUMMYFUNCTION("""COMPUTED_VALUE"""),"Shinta Hari Fitriana")</f>
        <v>Shinta Hari Fitriana</v>
      </c>
      <c r="J363" s="6" t="str">
        <f>IFERROR(__xludf.DUMMYFUNCTION("""COMPUTED_VALUE"""),"Ari Susanti")</f>
        <v>Ari Susanti</v>
      </c>
      <c r="K363" s="6"/>
      <c r="L363" s="6"/>
      <c r="M363" s="6"/>
      <c r="N363" s="6"/>
      <c r="O363" s="6"/>
      <c r="P363" s="10" t="str">
        <f>IFERROR(__xludf.DUMMYFUNCTION("""COMPUTED_VALUE"""),"Shinta Hari Fitriana,Ari Susanti,,")</f>
        <v>Shinta Hari Fitriana,Ari Susanti,,</v>
      </c>
      <c r="Q363" s="11" t="str">
        <f>IFERROR(__xludf.DUMMYFUNCTION("""COMPUTED_VALUE"""),"https://jurnal.stie-aas.ac.id/index.php/jie/article/view/4720")</f>
        <v>https://jurnal.stie-aas.ac.id/index.php/jie/article/view/4720</v>
      </c>
      <c r="R363" s="6"/>
    </row>
    <row r="364">
      <c r="A364" s="5">
        <f>IFERROR(__xludf.DUMMYFUNCTION("""COMPUTED_VALUE"""),363.0)</f>
        <v>363</v>
      </c>
      <c r="B364" s="6" t="str">
        <f>IFERROR(__xludf.DUMMYFUNCTION("""COMPUTED_VALUE"""),"The Effect of Brand Image and Promotion on Purchase Decisions With Interest to Buy As Intervening Variables on Maybelline Mascara Products")</f>
        <v>The Effect of Brand Image and Promotion on Purchase Decisions With Interest to Buy As Intervening Variables on Maybelline Mascara Products</v>
      </c>
      <c r="C364" s="7">
        <f>IFERROR(__xludf.DUMMYFUNCTION("""COMPUTED_VALUE"""),2022.0)</f>
        <v>2022</v>
      </c>
      <c r="D364" s="8" t="str">
        <f>IFERROR(__xludf.DUMMYFUNCTION("""COMPUTED_VALUE"""),"2021/2022")</f>
        <v>2021/2022</v>
      </c>
      <c r="E364" s="9">
        <f>IFERROR(__xludf.DUMMYFUNCTION("""COMPUTED_VALUE"""),44681.0)</f>
        <v>44681</v>
      </c>
      <c r="F364" s="5" t="str">
        <f>IFERROR(__xludf.DUMMYFUNCTION("""COMPUTED_VALUE"""),"Genap")</f>
        <v>Genap</v>
      </c>
      <c r="G364" s="5" t="str">
        <f>IFERROR(__xludf.DUMMYFUNCTION("""COMPUTED_VALUE"""),"Manajemen")</f>
        <v>Manajemen</v>
      </c>
      <c r="H364" s="10" t="str">
        <f>IFERROR(__xludf.DUMMYFUNCTION("""COMPUTED_VALUE"""),"Mahasiswa")</f>
        <v>Mahasiswa</v>
      </c>
      <c r="I364" s="6" t="str">
        <f>IFERROR(__xludf.DUMMYFUNCTION("""COMPUTED_VALUE"""),"Mely Susianawati")</f>
        <v>Mely Susianawati</v>
      </c>
      <c r="J364" s="6" t="str">
        <f>IFERROR(__xludf.DUMMYFUNCTION("""COMPUTED_VALUE"""),"Andri Nurtantiono")</f>
        <v>Andri Nurtantiono</v>
      </c>
      <c r="K364" s="6"/>
      <c r="L364" s="6"/>
      <c r="M364" s="6"/>
      <c r="N364" s="6"/>
      <c r="O364" s="6"/>
      <c r="P364" s="10" t="str">
        <f>IFERROR(__xludf.DUMMYFUNCTION("""COMPUTED_VALUE"""),"Mely Susianawati,Andri Nurtantiono,,")</f>
        <v>Mely Susianawati,Andri Nurtantiono,,</v>
      </c>
      <c r="Q364" s="11" t="str">
        <f>IFERROR(__xludf.DUMMYFUNCTION("""COMPUTED_VALUE"""),"https://jurnal.stie-aas.ac.id/index.php/jie/article/view/4977")</f>
        <v>https://jurnal.stie-aas.ac.id/index.php/jie/article/view/4977</v>
      </c>
      <c r="R364" s="6"/>
    </row>
    <row r="365">
      <c r="A365" s="5">
        <f>IFERROR(__xludf.DUMMYFUNCTION("""COMPUTED_VALUE"""),364.0)</f>
        <v>364</v>
      </c>
      <c r="B365" s="6" t="str">
        <f>IFERROR(__xludf.DUMMYFUNCTION("""COMPUTED_VALUE"""),"Pengaruh Kepercayaan, Word Of Mouth, Kualitas Produk Dan Gaya Hidup Terhadap Keputusan Pembelian Produk Kecantikan")</f>
        <v>Pengaruh Kepercayaan, Word Of Mouth, Kualitas Produk Dan Gaya Hidup Terhadap Keputusan Pembelian Produk Kecantikan</v>
      </c>
      <c r="C365" s="7">
        <f>IFERROR(__xludf.DUMMYFUNCTION("""COMPUTED_VALUE"""),2022.0)</f>
        <v>2022</v>
      </c>
      <c r="D365" s="8" t="str">
        <f>IFERROR(__xludf.DUMMYFUNCTION("""COMPUTED_VALUE"""),"2021/2022")</f>
        <v>2021/2022</v>
      </c>
      <c r="E365" s="9">
        <f>IFERROR(__xludf.DUMMYFUNCTION("""COMPUTED_VALUE"""),44681.0)</f>
        <v>44681</v>
      </c>
      <c r="F365" s="5" t="str">
        <f>IFERROR(__xludf.DUMMYFUNCTION("""COMPUTED_VALUE"""),"Genap")</f>
        <v>Genap</v>
      </c>
      <c r="G365" s="5" t="str">
        <f>IFERROR(__xludf.DUMMYFUNCTION("""COMPUTED_VALUE"""),"Manajemen")</f>
        <v>Manajemen</v>
      </c>
      <c r="H365" s="10" t="str">
        <f>IFERROR(__xludf.DUMMYFUNCTION("""COMPUTED_VALUE"""),"Mahasiswa")</f>
        <v>Mahasiswa</v>
      </c>
      <c r="I365" s="6" t="str">
        <f>IFERROR(__xludf.DUMMYFUNCTION("""COMPUTED_VALUE"""),"Riska Putri Septia Ardhana")</f>
        <v>Riska Putri Septia Ardhana</v>
      </c>
      <c r="J365" s="6" t="str">
        <f>IFERROR(__xludf.DUMMYFUNCTION("""COMPUTED_VALUE"""),"Ginanjar Rahmawan")</f>
        <v>Ginanjar Rahmawan</v>
      </c>
      <c r="K365" s="6"/>
      <c r="L365" s="6"/>
      <c r="M365" s="6"/>
      <c r="N365" s="6"/>
      <c r="O365" s="6"/>
      <c r="P365" s="10" t="str">
        <f>IFERROR(__xludf.DUMMYFUNCTION("""COMPUTED_VALUE"""),"Riska Putri Septia Ardhana,Ginanjar Rahmawan,,")</f>
        <v>Riska Putri Septia Ardhana,Ginanjar Rahmawan,,</v>
      </c>
      <c r="Q365" s="11" t="str">
        <f>IFERROR(__xludf.DUMMYFUNCTION("""COMPUTED_VALUE"""),"https://jurnal.stie-aas.ac.id/index.php/jie/article/view/4978")</f>
        <v>https://jurnal.stie-aas.ac.id/index.php/jie/article/view/4978</v>
      </c>
      <c r="R365" s="6"/>
    </row>
    <row r="366">
      <c r="A366" s="5">
        <f>IFERROR(__xludf.DUMMYFUNCTION("""COMPUTED_VALUE"""),365.0)</f>
        <v>365</v>
      </c>
      <c r="B366" s="6" t="str">
        <f>IFERROR(__xludf.DUMMYFUNCTION("""COMPUTED_VALUE"""),"Faktor-Faktor Yang Mempengaruhi Keputusan Pembelian Smartphone Oppo Di Kabupaten Sukoharjo")</f>
        <v>Faktor-Faktor Yang Mempengaruhi Keputusan Pembelian Smartphone Oppo Di Kabupaten Sukoharjo</v>
      </c>
      <c r="C366" s="7">
        <f>IFERROR(__xludf.DUMMYFUNCTION("""COMPUTED_VALUE"""),2022.0)</f>
        <v>2022</v>
      </c>
      <c r="D366" s="8" t="str">
        <f>IFERROR(__xludf.DUMMYFUNCTION("""COMPUTED_VALUE"""),"2021/2022")</f>
        <v>2021/2022</v>
      </c>
      <c r="E366" s="9">
        <f>IFERROR(__xludf.DUMMYFUNCTION("""COMPUTED_VALUE"""),44681.0)</f>
        <v>44681</v>
      </c>
      <c r="F366" s="5" t="str">
        <f>IFERROR(__xludf.DUMMYFUNCTION("""COMPUTED_VALUE"""),"Genap")</f>
        <v>Genap</v>
      </c>
      <c r="G366" s="5" t="str">
        <f>IFERROR(__xludf.DUMMYFUNCTION("""COMPUTED_VALUE"""),"Manajemen")</f>
        <v>Manajemen</v>
      </c>
      <c r="H366" s="10" t="str">
        <f>IFERROR(__xludf.DUMMYFUNCTION("""COMPUTED_VALUE"""),"Mahasiswa")</f>
        <v>Mahasiswa</v>
      </c>
      <c r="I366" s="6" t="str">
        <f>IFERROR(__xludf.DUMMYFUNCTION("""COMPUTED_VALUE"""),"Dia Nuraini")</f>
        <v>Dia Nuraini</v>
      </c>
      <c r="J366" s="6" t="str">
        <f>IFERROR(__xludf.DUMMYFUNCTION("""COMPUTED_VALUE"""),"Christiawan Hendratmoko")</f>
        <v>Christiawan Hendratmoko</v>
      </c>
      <c r="K366" s="6"/>
      <c r="L366" s="6"/>
      <c r="M366" s="6"/>
      <c r="N366" s="6"/>
      <c r="O366" s="6"/>
      <c r="P366" s="10" t="str">
        <f>IFERROR(__xludf.DUMMYFUNCTION("""COMPUTED_VALUE"""),"Dia Nuraini,Christiawan Hendratmoko,,")</f>
        <v>Dia Nuraini,Christiawan Hendratmoko,,</v>
      </c>
      <c r="Q366" s="11" t="str">
        <f>IFERROR(__xludf.DUMMYFUNCTION("""COMPUTED_VALUE"""),"https://journal.stiem.ac.id/index.php/jureq/article/view/978")</f>
        <v>https://journal.stiem.ac.id/index.php/jureq/article/view/978</v>
      </c>
      <c r="R366" s="6"/>
    </row>
    <row r="367">
      <c r="A367" s="5">
        <f>IFERROR(__xludf.DUMMYFUNCTION("""COMPUTED_VALUE"""),366.0)</f>
        <v>366</v>
      </c>
      <c r="B367" s="6" t="str">
        <f>IFERROR(__xludf.DUMMYFUNCTION("""COMPUTED_VALUE"""),"Minat Beli Sebagai Variabel Intervening Pada Pengaruh Citra Merek Dan Promosi Terhadap Keputusan Pembelian Mascara Maybelline")</f>
        <v>Minat Beli Sebagai Variabel Intervening Pada Pengaruh Citra Merek Dan Promosi Terhadap Keputusan Pembelian Mascara Maybelline</v>
      </c>
      <c r="C367" s="7">
        <f>IFERROR(__xludf.DUMMYFUNCTION("""COMPUTED_VALUE"""),2022.0)</f>
        <v>2022</v>
      </c>
      <c r="D367" s="8" t="str">
        <f>IFERROR(__xludf.DUMMYFUNCTION("""COMPUTED_VALUE"""),"2021/2022")</f>
        <v>2021/2022</v>
      </c>
      <c r="E367" s="9">
        <f>IFERROR(__xludf.DUMMYFUNCTION("""COMPUTED_VALUE"""),44681.0)</f>
        <v>44681</v>
      </c>
      <c r="F367" s="5" t="str">
        <f>IFERROR(__xludf.DUMMYFUNCTION("""COMPUTED_VALUE"""),"Genap")</f>
        <v>Genap</v>
      </c>
      <c r="G367" s="5" t="str">
        <f>IFERROR(__xludf.DUMMYFUNCTION("""COMPUTED_VALUE"""),"Manajemen")</f>
        <v>Manajemen</v>
      </c>
      <c r="H367" s="10" t="str">
        <f>IFERROR(__xludf.DUMMYFUNCTION("""COMPUTED_VALUE"""),"Mahasiswa")</f>
        <v>Mahasiswa</v>
      </c>
      <c r="I367" s="6" t="str">
        <f>IFERROR(__xludf.DUMMYFUNCTION("""COMPUTED_VALUE"""),"Mely Susianawati")</f>
        <v>Mely Susianawati</v>
      </c>
      <c r="J367" s="6" t="str">
        <f>IFERROR(__xludf.DUMMYFUNCTION("""COMPUTED_VALUE"""),"Andri Nurtantiono")</f>
        <v>Andri Nurtantiono</v>
      </c>
      <c r="K367" s="6"/>
      <c r="L367" s="6"/>
      <c r="M367" s="6"/>
      <c r="N367" s="6"/>
      <c r="O367" s="6"/>
      <c r="P367" s="10" t="str">
        <f>IFERROR(__xludf.DUMMYFUNCTION("""COMPUTED_VALUE"""),"Mely Susianawati,Andri Nurtantiono,,")</f>
        <v>Mely Susianawati,Andri Nurtantiono,,</v>
      </c>
      <c r="Q367" s="11" t="str">
        <f>IFERROR(__xludf.DUMMYFUNCTION("""COMPUTED_VALUE"""),"https://jurnal.stie-aas.ac.id/index.php/jie/article/view/4977")</f>
        <v>https://jurnal.stie-aas.ac.id/index.php/jie/article/view/4977</v>
      </c>
      <c r="R367" s="6"/>
    </row>
    <row r="368">
      <c r="A368" s="5">
        <f>IFERROR(__xludf.DUMMYFUNCTION("""COMPUTED_VALUE"""),367.0)</f>
        <v>367</v>
      </c>
      <c r="B368" s="6" t="str">
        <f>IFERROR(__xludf.DUMMYFUNCTION("""COMPUTED_VALUE"""),"Faktor-faktor yang mempengaruhi wajib pajak kendaraan truck dan bus")</f>
        <v>Faktor-faktor yang mempengaruhi wajib pajak kendaraan truck dan bus</v>
      </c>
      <c r="C368" s="7">
        <f>IFERROR(__xludf.DUMMYFUNCTION("""COMPUTED_VALUE"""),2022.0)</f>
        <v>2022</v>
      </c>
      <c r="D368" s="8" t="str">
        <f>IFERROR(__xludf.DUMMYFUNCTION("""COMPUTED_VALUE"""),"2021/2022")</f>
        <v>2021/2022</v>
      </c>
      <c r="E368" s="9">
        <f>IFERROR(__xludf.DUMMYFUNCTION("""COMPUTED_VALUE"""),44682.0)</f>
        <v>44682</v>
      </c>
      <c r="F368" s="5" t="str">
        <f>IFERROR(__xludf.DUMMYFUNCTION("""COMPUTED_VALUE"""),"Genap")</f>
        <v>Genap</v>
      </c>
      <c r="G368" s="5" t="str">
        <f>IFERROR(__xludf.DUMMYFUNCTION("""COMPUTED_VALUE"""),"Akuntansi")</f>
        <v>Akuntansi</v>
      </c>
      <c r="H368" s="10" t="str">
        <f>IFERROR(__xludf.DUMMYFUNCTION("""COMPUTED_VALUE"""),"Mahasiswa")</f>
        <v>Mahasiswa</v>
      </c>
      <c r="I368" s="6" t="str">
        <f>IFERROR(__xludf.DUMMYFUNCTION("""COMPUTED_VALUE"""),"Michael alfa Crisnanta")</f>
        <v>Michael alfa Crisnanta</v>
      </c>
      <c r="J368" s="6" t="str">
        <f>IFERROR(__xludf.DUMMYFUNCTION("""COMPUTED_VALUE"""),"Arif Nugroho Rachman")</f>
        <v>Arif Nugroho Rachman</v>
      </c>
      <c r="K368" s="6"/>
      <c r="L368" s="6"/>
      <c r="M368" s="6"/>
      <c r="N368" s="6"/>
      <c r="O368" s="6"/>
      <c r="P368" s="10" t="str">
        <f>IFERROR(__xludf.DUMMYFUNCTION("""COMPUTED_VALUE"""),"Michael alfa Crisnanta,Arif Nugroho Rachman,,")</f>
        <v>Michael alfa Crisnanta,Arif Nugroho Rachman,,</v>
      </c>
      <c r="Q368" s="11" t="str">
        <f>IFERROR(__xludf.DUMMYFUNCTION("""COMPUTED_VALUE"""),"https://bajangjournal.com/index.php/Juremi/article/view/2080")</f>
        <v>https://bajangjournal.com/index.php/Juremi/article/view/2080</v>
      </c>
      <c r="R368" s="6"/>
    </row>
    <row r="369">
      <c r="A369" s="5">
        <f>IFERROR(__xludf.DUMMYFUNCTION("""COMPUTED_VALUE"""),368.0)</f>
        <v>368</v>
      </c>
      <c r="B369" s="6" t="str">
        <f>IFERROR(__xludf.DUMMYFUNCTION("""COMPUTED_VALUE"""),"Analisis faktor faktor yang mempengaruhi pendapatan UMKM sektor perdagangan di kota Surakarta")</f>
        <v>Analisis faktor faktor yang mempengaruhi pendapatan UMKM sektor perdagangan di kota Surakarta</v>
      </c>
      <c r="C369" s="7">
        <f>IFERROR(__xludf.DUMMYFUNCTION("""COMPUTED_VALUE"""),2022.0)</f>
        <v>2022</v>
      </c>
      <c r="D369" s="8" t="str">
        <f>IFERROR(__xludf.DUMMYFUNCTION("""COMPUTED_VALUE"""),"2021/2022")</f>
        <v>2021/2022</v>
      </c>
      <c r="E369" s="9">
        <f>IFERROR(__xludf.DUMMYFUNCTION("""COMPUTED_VALUE"""),44682.0)</f>
        <v>44682</v>
      </c>
      <c r="F369" s="5" t="str">
        <f>IFERROR(__xludf.DUMMYFUNCTION("""COMPUTED_VALUE"""),"Genap")</f>
        <v>Genap</v>
      </c>
      <c r="G369" s="5" t="str">
        <f>IFERROR(__xludf.DUMMYFUNCTION("""COMPUTED_VALUE"""),"Akuntansi")</f>
        <v>Akuntansi</v>
      </c>
      <c r="H369" s="10" t="str">
        <f>IFERROR(__xludf.DUMMYFUNCTION("""COMPUTED_VALUE"""),"Mahasiswa")</f>
        <v>Mahasiswa</v>
      </c>
      <c r="I369" s="6" t="str">
        <f>IFERROR(__xludf.DUMMYFUNCTION("""COMPUTED_VALUE"""),"Tifania Arumsari")</f>
        <v>Tifania Arumsari</v>
      </c>
      <c r="J369" s="6" t="str">
        <f>IFERROR(__xludf.DUMMYFUNCTION("""COMPUTED_VALUE"""),"Ismunawan")</f>
        <v>Ismunawan</v>
      </c>
      <c r="K369" s="6"/>
      <c r="L369" s="6"/>
      <c r="M369" s="6"/>
      <c r="N369" s="6"/>
      <c r="O369" s="6"/>
      <c r="P369" s="10" t="str">
        <f>IFERROR(__xludf.DUMMYFUNCTION("""COMPUTED_VALUE"""),"Tifania Arumsari,Ismunawan,,")</f>
        <v>Tifania Arumsari,Ismunawan,,</v>
      </c>
      <c r="Q369" s="11" t="str">
        <f>IFERROR(__xludf.DUMMYFUNCTION("""COMPUTED_VALUE"""),"https://bajangjournal.com/index.php/Juremi/article/view/2079")</f>
        <v>https://bajangjournal.com/index.php/Juremi/article/view/2079</v>
      </c>
      <c r="R369" s="6"/>
    </row>
    <row r="370">
      <c r="A370" s="5">
        <f>IFERROR(__xludf.DUMMYFUNCTION("""COMPUTED_VALUE"""),369.0)</f>
        <v>369</v>
      </c>
      <c r="B370" s="6" t="str">
        <f>IFERROR(__xludf.DUMMYFUNCTION("""COMPUTED_VALUE"""),"Pengaruh debt to equity ratio dan quick ratio terhadap return on equity pada perusahaan sektor industri garment di Indonesia tahun 2016-2020")</f>
        <v>Pengaruh debt to equity ratio dan quick ratio terhadap return on equity pada perusahaan sektor industri garment di Indonesia tahun 2016-2020</v>
      </c>
      <c r="C370" s="7">
        <f>IFERROR(__xludf.DUMMYFUNCTION("""COMPUTED_VALUE"""),2022.0)</f>
        <v>2022</v>
      </c>
      <c r="D370" s="8" t="str">
        <f>IFERROR(__xludf.DUMMYFUNCTION("""COMPUTED_VALUE"""),"2021/2022")</f>
        <v>2021/2022</v>
      </c>
      <c r="E370" s="9">
        <f>IFERROR(__xludf.DUMMYFUNCTION("""COMPUTED_VALUE"""),44682.0)</f>
        <v>44682</v>
      </c>
      <c r="F370" s="5" t="str">
        <f>IFERROR(__xludf.DUMMYFUNCTION("""COMPUTED_VALUE"""),"Genap")</f>
        <v>Genap</v>
      </c>
      <c r="G370" s="5" t="str">
        <f>IFERROR(__xludf.DUMMYFUNCTION("""COMPUTED_VALUE"""),"Akuntansi")</f>
        <v>Akuntansi</v>
      </c>
      <c r="H370" s="10" t="str">
        <f>IFERROR(__xludf.DUMMYFUNCTION("""COMPUTED_VALUE"""),"Mahasiswa")</f>
        <v>Mahasiswa</v>
      </c>
      <c r="I370" s="6" t="str">
        <f>IFERROR(__xludf.DUMMYFUNCTION("""COMPUTED_VALUE"""),"Merliana Lisa Pratiwi")</f>
        <v>Merliana Lisa Pratiwi</v>
      </c>
      <c r="J370" s="6" t="str">
        <f>IFERROR(__xludf.DUMMYFUNCTION("""COMPUTED_VALUE"""),"Eko Triyanto")</f>
        <v>Eko Triyanto</v>
      </c>
      <c r="K370" s="6"/>
      <c r="L370" s="6"/>
      <c r="M370" s="6"/>
      <c r="N370" s="6"/>
      <c r="O370" s="6"/>
      <c r="P370" s="10" t="str">
        <f>IFERROR(__xludf.DUMMYFUNCTION("""COMPUTED_VALUE"""),"Merliana Lisa Pratiwi,Eko Triyanto,,")</f>
        <v>Merliana Lisa Pratiwi,Eko Triyanto,,</v>
      </c>
      <c r="Q370" s="11" t="str">
        <f>IFERROR(__xludf.DUMMYFUNCTION("""COMPUTED_VALUE"""),"https://bajangjournal.com/index.php/Juremi/article/view/2081/1448")</f>
        <v>https://bajangjournal.com/index.php/Juremi/article/view/2081/1448</v>
      </c>
      <c r="R370" s="6"/>
    </row>
    <row r="371">
      <c r="A371" s="5">
        <f>IFERROR(__xludf.DUMMYFUNCTION("""COMPUTED_VALUE"""),370.0)</f>
        <v>370</v>
      </c>
      <c r="B371" s="6" t="str">
        <f>IFERROR(__xludf.DUMMYFUNCTION("""COMPUTED_VALUE"""),"STUDI KEPATUHAN PEMBAYARAN PAJAK KENDARAAN BERMOTOR DENGAN PEMUTIHAN PAJAK SEBAGAI VARIABEL MODERASI")</f>
        <v>STUDI KEPATUHAN PEMBAYARAN PAJAK KENDARAAN BERMOTOR DENGAN PEMUTIHAN PAJAK SEBAGAI VARIABEL MODERASI</v>
      </c>
      <c r="C371" s="7">
        <f>IFERROR(__xludf.DUMMYFUNCTION("""COMPUTED_VALUE"""),2022.0)</f>
        <v>2022</v>
      </c>
      <c r="D371" s="8" t="str">
        <f>IFERROR(__xludf.DUMMYFUNCTION("""COMPUTED_VALUE"""),"2021/2022")</f>
        <v>2021/2022</v>
      </c>
      <c r="E371" s="9">
        <f>IFERROR(__xludf.DUMMYFUNCTION("""COMPUTED_VALUE"""),44682.0)</f>
        <v>44682</v>
      </c>
      <c r="F371" s="5" t="str">
        <f>IFERROR(__xludf.DUMMYFUNCTION("""COMPUTED_VALUE"""),"Genap")</f>
        <v>Genap</v>
      </c>
      <c r="G371" s="5" t="str">
        <f>IFERROR(__xludf.DUMMYFUNCTION("""COMPUTED_VALUE"""),"Akuntansi")</f>
        <v>Akuntansi</v>
      </c>
      <c r="H371" s="10" t="str">
        <f>IFERROR(__xludf.DUMMYFUNCTION("""COMPUTED_VALUE"""),"Mahasiswa")</f>
        <v>Mahasiswa</v>
      </c>
      <c r="I371" s="6" t="str">
        <f>IFERROR(__xludf.DUMMYFUNCTION("""COMPUTED_VALUE"""),"Diaz Juan Marcheita")</f>
        <v>Diaz Juan Marcheita</v>
      </c>
      <c r="J371" s="6" t="str">
        <f>IFERROR(__xludf.DUMMYFUNCTION("""COMPUTED_VALUE"""),"Arif Nugroho Rachman")</f>
        <v>Arif Nugroho Rachman</v>
      </c>
      <c r="K371" s="6"/>
      <c r="L371" s="6"/>
      <c r="M371" s="6"/>
      <c r="N371" s="6"/>
      <c r="O371" s="6"/>
      <c r="P371" s="10" t="str">
        <f>IFERROR(__xludf.DUMMYFUNCTION("""COMPUTED_VALUE"""),"Diaz Juan Marcheita,Arif Nugroho Rachman,,")</f>
        <v>Diaz Juan Marcheita,Arif Nugroho Rachman,,</v>
      </c>
      <c r="Q371" s="11" t="str">
        <f>IFERROR(__xludf.DUMMYFUNCTION("""COMPUTED_VALUE"""),"https://bajangjournal.com/index.php/Juremi/article/view/2083")</f>
        <v>https://bajangjournal.com/index.php/Juremi/article/view/2083</v>
      </c>
      <c r="R371" s="6"/>
    </row>
    <row r="372">
      <c r="A372" s="5">
        <f>IFERROR(__xludf.DUMMYFUNCTION("""COMPUTED_VALUE"""),371.0)</f>
        <v>371</v>
      </c>
      <c r="B372" s="6" t="str">
        <f>IFERROR(__xludf.DUMMYFUNCTION("""COMPUTED_VALUE"""),"ANALISIS FAKTOR-FAKTOR YANG MEMPENGARUHI KUALITAS INFORMASI LAPORAN KEUANGAN PEMERINTAH DAERAH SURAKARTA")</f>
        <v>ANALISIS FAKTOR-FAKTOR YANG MEMPENGARUHI KUALITAS INFORMASI LAPORAN KEUANGAN PEMERINTAH DAERAH SURAKARTA</v>
      </c>
      <c r="C372" s="7">
        <f>IFERROR(__xludf.DUMMYFUNCTION("""COMPUTED_VALUE"""),2022.0)</f>
        <v>2022</v>
      </c>
      <c r="D372" s="8" t="str">
        <f>IFERROR(__xludf.DUMMYFUNCTION("""COMPUTED_VALUE"""),"2021/2022")</f>
        <v>2021/2022</v>
      </c>
      <c r="E372" s="9">
        <f>IFERROR(__xludf.DUMMYFUNCTION("""COMPUTED_VALUE"""),44682.0)</f>
        <v>44682</v>
      </c>
      <c r="F372" s="5" t="str">
        <f>IFERROR(__xludf.DUMMYFUNCTION("""COMPUTED_VALUE"""),"Genap")</f>
        <v>Genap</v>
      </c>
      <c r="G372" s="5" t="str">
        <f>IFERROR(__xludf.DUMMYFUNCTION("""COMPUTED_VALUE"""),"Akuntansi")</f>
        <v>Akuntansi</v>
      </c>
      <c r="H372" s="10" t="str">
        <f>IFERROR(__xludf.DUMMYFUNCTION("""COMPUTED_VALUE"""),"Mahasiswa")</f>
        <v>Mahasiswa</v>
      </c>
      <c r="I372" s="6" t="str">
        <f>IFERROR(__xludf.DUMMYFUNCTION("""COMPUTED_VALUE"""),"Maulia Junyka Widyawati")</f>
        <v>Maulia Junyka Widyawati</v>
      </c>
      <c r="J372" s="6" t="str">
        <f>IFERROR(__xludf.DUMMYFUNCTION("""COMPUTED_VALUE"""),"Ismunawan")</f>
        <v>Ismunawan</v>
      </c>
      <c r="K372" s="6"/>
      <c r="L372" s="6"/>
      <c r="M372" s="6"/>
      <c r="N372" s="6"/>
      <c r="O372" s="6"/>
      <c r="P372" s="10" t="str">
        <f>IFERROR(__xludf.DUMMYFUNCTION("""COMPUTED_VALUE"""),"Maulia Junyka Widyawati,Ismunawan,,")</f>
        <v>Maulia Junyka Widyawati,Ismunawan,,</v>
      </c>
      <c r="Q372" s="11" t="str">
        <f>IFERROR(__xludf.DUMMYFUNCTION("""COMPUTED_VALUE"""),"https://bajangjournal.com/index.php/Juremi/article/view/2090")</f>
        <v>https://bajangjournal.com/index.php/Juremi/article/view/2090</v>
      </c>
      <c r="R372" s="6"/>
    </row>
    <row r="373">
      <c r="A373" s="5">
        <f>IFERROR(__xludf.DUMMYFUNCTION("""COMPUTED_VALUE"""),372.0)</f>
        <v>372</v>
      </c>
      <c r="B373" s="6" t="str">
        <f>IFERROR(__xludf.DUMMYFUNCTION("""COMPUTED_VALUE"""),"Perilaku Penggunaan E-Wallet Di Coffe Shop Terhadap Keputusan Penggunaan")</f>
        <v>Perilaku Penggunaan E-Wallet Di Coffe Shop Terhadap Keputusan Penggunaan</v>
      </c>
      <c r="C373" s="7">
        <f>IFERROR(__xludf.DUMMYFUNCTION("""COMPUTED_VALUE"""),2022.0)</f>
        <v>2022</v>
      </c>
      <c r="D373" s="8" t="str">
        <f>IFERROR(__xludf.DUMMYFUNCTION("""COMPUTED_VALUE"""),"2021/2022")</f>
        <v>2021/2022</v>
      </c>
      <c r="E373" s="9">
        <f>IFERROR(__xludf.DUMMYFUNCTION("""COMPUTED_VALUE"""),44682.0)</f>
        <v>44682</v>
      </c>
      <c r="F373" s="5" t="str">
        <f>IFERROR(__xludf.DUMMYFUNCTION("""COMPUTED_VALUE"""),"Genap")</f>
        <v>Genap</v>
      </c>
      <c r="G373" s="5" t="str">
        <f>IFERROR(__xludf.DUMMYFUNCTION("""COMPUTED_VALUE"""),"Manajemen")</f>
        <v>Manajemen</v>
      </c>
      <c r="H373" s="10" t="str">
        <f>IFERROR(__xludf.DUMMYFUNCTION("""COMPUTED_VALUE"""),"Mahasiswa")</f>
        <v>Mahasiswa</v>
      </c>
      <c r="I373" s="6" t="str">
        <f>IFERROR(__xludf.DUMMYFUNCTION("""COMPUTED_VALUE"""),"Rischa Heni Astriyanita")</f>
        <v>Rischa Heni Astriyanita</v>
      </c>
      <c r="J373" s="6" t="str">
        <f>IFERROR(__xludf.DUMMYFUNCTION("""COMPUTED_VALUE"""),"Ginanjar Rahmawan")</f>
        <v>Ginanjar Rahmawan</v>
      </c>
      <c r="K373" s="6"/>
      <c r="L373" s="6"/>
      <c r="M373" s="6"/>
      <c r="N373" s="6"/>
      <c r="O373" s="6"/>
      <c r="P373" s="10" t="str">
        <f>IFERROR(__xludf.DUMMYFUNCTION("""COMPUTED_VALUE"""),"Rischa Heni Astriyanita,Ginanjar Rahmawan,,")</f>
        <v>Rischa Heni Astriyanita,Ginanjar Rahmawan,,</v>
      </c>
      <c r="Q373" s="11" t="str">
        <f>IFERROR(__xludf.DUMMYFUNCTION("""COMPUTED_VALUE"""),"https://journal.stmikjayakarta.ac.id/index.php/jisamar/article/view/775")</f>
        <v>https://journal.stmikjayakarta.ac.id/index.php/jisamar/article/view/775</v>
      </c>
      <c r="R373" s="6"/>
    </row>
    <row r="374">
      <c r="A374" s="5">
        <f>IFERROR(__xludf.DUMMYFUNCTION("""COMPUTED_VALUE"""),373.0)</f>
        <v>373</v>
      </c>
      <c r="B374" s="6" t="str">
        <f>IFERROR(__xludf.DUMMYFUNCTION("""COMPUTED_VALUE"""),"Faktor-Faktor Yang Mempengaruhi Kepatuhan Wajib Pajak Kendaraan Truk Dan Bus")</f>
        <v>Faktor-Faktor Yang Mempengaruhi Kepatuhan Wajib Pajak Kendaraan Truk Dan Bus</v>
      </c>
      <c r="C374" s="7">
        <f>IFERROR(__xludf.DUMMYFUNCTION("""COMPUTED_VALUE"""),2022.0)</f>
        <v>2022</v>
      </c>
      <c r="D374" s="8" t="str">
        <f>IFERROR(__xludf.DUMMYFUNCTION("""COMPUTED_VALUE"""),"2021/2022")</f>
        <v>2021/2022</v>
      </c>
      <c r="E374" s="9">
        <f>IFERROR(__xludf.DUMMYFUNCTION("""COMPUTED_VALUE"""),44682.0)</f>
        <v>44682</v>
      </c>
      <c r="F374" s="5" t="str">
        <f>IFERROR(__xludf.DUMMYFUNCTION("""COMPUTED_VALUE"""),"Genap")</f>
        <v>Genap</v>
      </c>
      <c r="G374" s="5" t="str">
        <f>IFERROR(__xludf.DUMMYFUNCTION("""COMPUTED_VALUE"""),"Akuntansi")</f>
        <v>Akuntansi</v>
      </c>
      <c r="H374" s="10" t="str">
        <f>IFERROR(__xludf.DUMMYFUNCTION("""COMPUTED_VALUE"""),"Mahasiswa")</f>
        <v>Mahasiswa</v>
      </c>
      <c r="I374" s="6" t="str">
        <f>IFERROR(__xludf.DUMMYFUNCTION("""COMPUTED_VALUE"""),"Michael Alfa Chrisnata")</f>
        <v>Michael Alfa Chrisnata</v>
      </c>
      <c r="J374" s="6" t="str">
        <f>IFERROR(__xludf.DUMMYFUNCTION("""COMPUTED_VALUE"""),"Arif Nugroho Rachman")</f>
        <v>Arif Nugroho Rachman</v>
      </c>
      <c r="K374" s="6"/>
      <c r="L374" s="6"/>
      <c r="M374" s="6"/>
      <c r="N374" s="6"/>
      <c r="O374" s="6"/>
      <c r="P374" s="10" t="str">
        <f>IFERROR(__xludf.DUMMYFUNCTION("""COMPUTED_VALUE"""),"Michael Alfa Chrisnata,Arif Nugroho Rachman,,")</f>
        <v>Michael Alfa Chrisnata,Arif Nugroho Rachman,,</v>
      </c>
      <c r="Q374" s="11" t="str">
        <f>IFERROR(__xludf.DUMMYFUNCTION("""COMPUTED_VALUE"""),"https://bajangjournal.com/index.php/Juremi/article/view/2080")</f>
        <v>https://bajangjournal.com/index.php/Juremi/article/view/2080</v>
      </c>
      <c r="R374" s="6"/>
    </row>
    <row r="375">
      <c r="A375" s="5">
        <f>IFERROR(__xludf.DUMMYFUNCTION("""COMPUTED_VALUE"""),374.0)</f>
        <v>374</v>
      </c>
      <c r="B375" s="6" t="str">
        <f>IFERROR(__xludf.DUMMYFUNCTION("""COMPUTED_VALUE"""),"Pengaruh Pemahaman Informasi Keuangan Dan Mindset Entrepreneur Terhadap Kinerja UMKM Di Pasar Ir Soekarno Sukoharjo (Studi Pasar Ir Soekarno Sukoharjo 2021)")</f>
        <v>Pengaruh Pemahaman Informasi Keuangan Dan Mindset Entrepreneur Terhadap Kinerja UMKM Di Pasar Ir Soekarno Sukoharjo (Studi Pasar Ir Soekarno Sukoharjo 2021)</v>
      </c>
      <c r="C375" s="7">
        <f>IFERROR(__xludf.DUMMYFUNCTION("""COMPUTED_VALUE"""),2022.0)</f>
        <v>2022</v>
      </c>
      <c r="D375" s="8" t="str">
        <f>IFERROR(__xludf.DUMMYFUNCTION("""COMPUTED_VALUE"""),"2021/2022")</f>
        <v>2021/2022</v>
      </c>
      <c r="E375" s="9">
        <f>IFERROR(__xludf.DUMMYFUNCTION("""COMPUTED_VALUE"""),44682.0)</f>
        <v>44682</v>
      </c>
      <c r="F375" s="5" t="str">
        <f>IFERROR(__xludf.DUMMYFUNCTION("""COMPUTED_VALUE"""),"Genap")</f>
        <v>Genap</v>
      </c>
      <c r="G375" s="5" t="str">
        <f>IFERROR(__xludf.DUMMYFUNCTION("""COMPUTED_VALUE"""),"Akuntansi")</f>
        <v>Akuntansi</v>
      </c>
      <c r="H375" s="10" t="str">
        <f>IFERROR(__xludf.DUMMYFUNCTION("""COMPUTED_VALUE"""),"Mahasiswa")</f>
        <v>Mahasiswa</v>
      </c>
      <c r="I375" s="6" t="str">
        <f>IFERROR(__xludf.DUMMYFUNCTION("""COMPUTED_VALUE"""),"Elsa Dwi Ramanti")</f>
        <v>Elsa Dwi Ramanti</v>
      </c>
      <c r="J375" s="6" t="str">
        <f>IFERROR(__xludf.DUMMYFUNCTION("""COMPUTED_VALUE"""),"Astuning Saharsini")</f>
        <v>Astuning Saharsini</v>
      </c>
      <c r="K375" s="6"/>
      <c r="L375" s="6"/>
      <c r="M375" s="6"/>
      <c r="N375" s="6"/>
      <c r="O375" s="6"/>
      <c r="P375" s="10" t="str">
        <f>IFERROR(__xludf.DUMMYFUNCTION("""COMPUTED_VALUE"""),"Elsa Dwi Ramanti,Astuning Saharsini,,")</f>
        <v>Elsa Dwi Ramanti,Astuning Saharsini,,</v>
      </c>
      <c r="Q375" s="11" t="str">
        <f>IFERROR(__xludf.DUMMYFUNCTION("""COMPUTED_VALUE"""),"https://bajangjournal.com/index.php/Juremi/article/view/2088")</f>
        <v>https://bajangjournal.com/index.php/Juremi/article/view/2088</v>
      </c>
      <c r="R375" s="6"/>
    </row>
    <row r="376">
      <c r="A376" s="5">
        <f>IFERROR(__xludf.DUMMYFUNCTION("""COMPUTED_VALUE"""),375.0)</f>
        <v>375</v>
      </c>
      <c r="B376" s="6" t="str">
        <f>IFERROR(__xludf.DUMMYFUNCTION("""COMPUTED_VALUE"""),"Faktor Yang Mempengaruhi Penggunaan Informasi Akuntansi Pada Pelaku Umkm Rotan Desa Trangsan")</f>
        <v>Faktor Yang Mempengaruhi Penggunaan Informasi Akuntansi Pada Pelaku Umkm Rotan Desa Trangsan</v>
      </c>
      <c r="C376" s="7">
        <f>IFERROR(__xludf.DUMMYFUNCTION("""COMPUTED_VALUE"""),2022.0)</f>
        <v>2022</v>
      </c>
      <c r="D376" s="8" t="str">
        <f>IFERROR(__xludf.DUMMYFUNCTION("""COMPUTED_VALUE"""),"2021/2022")</f>
        <v>2021/2022</v>
      </c>
      <c r="E376" s="9">
        <f>IFERROR(__xludf.DUMMYFUNCTION("""COMPUTED_VALUE"""),44682.0)</f>
        <v>44682</v>
      </c>
      <c r="F376" s="5" t="str">
        <f>IFERROR(__xludf.DUMMYFUNCTION("""COMPUTED_VALUE"""),"Genap")</f>
        <v>Genap</v>
      </c>
      <c r="G376" s="5" t="str">
        <f>IFERROR(__xludf.DUMMYFUNCTION("""COMPUTED_VALUE"""),"Akuntansi")</f>
        <v>Akuntansi</v>
      </c>
      <c r="H376" s="10" t="str">
        <f>IFERROR(__xludf.DUMMYFUNCTION("""COMPUTED_VALUE"""),"Mahasiswa")</f>
        <v>Mahasiswa</v>
      </c>
      <c r="I376" s="6" t="str">
        <f>IFERROR(__xludf.DUMMYFUNCTION("""COMPUTED_VALUE"""),"Ikhsan Tabah Ramadhan")</f>
        <v>Ikhsan Tabah Ramadhan</v>
      </c>
      <c r="J376" s="6" t="str">
        <f>IFERROR(__xludf.DUMMYFUNCTION("""COMPUTED_VALUE"""),"Astuning Saharsini")</f>
        <v>Astuning Saharsini</v>
      </c>
      <c r="K376" s="6"/>
      <c r="L376" s="6"/>
      <c r="M376" s="6"/>
      <c r="N376" s="6"/>
      <c r="O376" s="6"/>
      <c r="P376" s="10" t="str">
        <f>IFERROR(__xludf.DUMMYFUNCTION("""COMPUTED_VALUE"""),"Ikhsan Tabah Ramadhan,Astuning Saharsini,,")</f>
        <v>Ikhsan Tabah Ramadhan,Astuning Saharsini,,</v>
      </c>
      <c r="Q376" s="11" t="str">
        <f>IFERROR(__xludf.DUMMYFUNCTION("""COMPUTED_VALUE"""),"https://bajangjournal.com/index.php/Juremi/article/view/2082")</f>
        <v>https://bajangjournal.com/index.php/Juremi/article/view/2082</v>
      </c>
      <c r="R376" s="6"/>
    </row>
    <row r="377">
      <c r="A377" s="5">
        <f>IFERROR(__xludf.DUMMYFUNCTION("""COMPUTED_VALUE"""),376.0)</f>
        <v>376</v>
      </c>
      <c r="B377" s="6" t="str">
        <f>IFERROR(__xludf.DUMMYFUNCTION("""COMPUTED_VALUE"""),"Pengaruh Kualitas Sekolah, Biaya Dan Promosi Terhadap Minat Belajar Di Stie Surakarta")</f>
        <v>Pengaruh Kualitas Sekolah, Biaya Dan Promosi Terhadap Minat Belajar Di Stie Surakarta</v>
      </c>
      <c r="C377" s="7">
        <f>IFERROR(__xludf.DUMMYFUNCTION("""COMPUTED_VALUE"""),2022.0)</f>
        <v>2022</v>
      </c>
      <c r="D377" s="8" t="str">
        <f>IFERROR(__xludf.DUMMYFUNCTION("""COMPUTED_VALUE"""),"2021/2022")</f>
        <v>2021/2022</v>
      </c>
      <c r="E377" s="9">
        <f>IFERROR(__xludf.DUMMYFUNCTION("""COMPUTED_VALUE"""),44682.0)</f>
        <v>44682</v>
      </c>
      <c r="F377" s="5" t="str">
        <f>IFERROR(__xludf.DUMMYFUNCTION("""COMPUTED_VALUE"""),"Genap")</f>
        <v>Genap</v>
      </c>
      <c r="G377" s="5" t="str">
        <f>IFERROR(__xludf.DUMMYFUNCTION("""COMPUTED_VALUE"""),"Manajemen")</f>
        <v>Manajemen</v>
      </c>
      <c r="H377" s="10" t="str">
        <f>IFERROR(__xludf.DUMMYFUNCTION("""COMPUTED_VALUE"""),"Mahasiswa")</f>
        <v>Mahasiswa</v>
      </c>
      <c r="I377" s="6" t="str">
        <f>IFERROR(__xludf.DUMMYFUNCTION("""COMPUTED_VALUE"""),"Guntur Milu Ibnu Dwi Saputro")</f>
        <v>Guntur Milu Ibnu Dwi Saputro</v>
      </c>
      <c r="J377" s="6" t="str">
        <f>IFERROR(__xludf.DUMMYFUNCTION("""COMPUTED_VALUE"""),"Putri Maisara")</f>
        <v>Putri Maisara</v>
      </c>
      <c r="K377" s="6"/>
      <c r="L377" s="6"/>
      <c r="M377" s="6"/>
      <c r="N377" s="6"/>
      <c r="O377" s="6"/>
      <c r="P377" s="10" t="str">
        <f>IFERROR(__xludf.DUMMYFUNCTION("""COMPUTED_VALUE"""),"Guntur Milu Ibnu Dwi Saputro,Putri Maisara,,")</f>
        <v>Guntur Milu Ibnu Dwi Saputro,Putri Maisara,,</v>
      </c>
      <c r="Q377" s="11" t="str">
        <f>IFERROR(__xludf.DUMMYFUNCTION("""COMPUTED_VALUE"""),"https://bajangjournal.com/index.php/Juremi/article/view/2091")</f>
        <v>https://bajangjournal.com/index.php/Juremi/article/view/2091</v>
      </c>
      <c r="R377" s="6"/>
    </row>
    <row r="378">
      <c r="A378" s="5">
        <f>IFERROR(__xludf.DUMMYFUNCTION("""COMPUTED_VALUE"""),377.0)</f>
        <v>377</v>
      </c>
      <c r="B378" s="6" t="str">
        <f>IFERROR(__xludf.DUMMYFUNCTION("""COMPUTED_VALUE"""),"KAJIAN PROSEDUR AKUNTANSI KAS CV TAUSAN")</f>
        <v>KAJIAN PROSEDUR AKUNTANSI KAS CV TAUSAN</v>
      </c>
      <c r="C378" s="7">
        <f>IFERROR(__xludf.DUMMYFUNCTION("""COMPUTED_VALUE"""),2022.0)</f>
        <v>2022</v>
      </c>
      <c r="D378" s="8" t="str">
        <f>IFERROR(__xludf.DUMMYFUNCTION("""COMPUTED_VALUE"""),"2021/2022")</f>
        <v>2021/2022</v>
      </c>
      <c r="E378" s="9">
        <f>IFERROR(__xludf.DUMMYFUNCTION("""COMPUTED_VALUE"""),44686.0)</f>
        <v>44686</v>
      </c>
      <c r="F378" s="5" t="str">
        <f>IFERROR(__xludf.DUMMYFUNCTION("""COMPUTED_VALUE"""),"Genap")</f>
        <v>Genap</v>
      </c>
      <c r="G378" s="5" t="str">
        <f>IFERROR(__xludf.DUMMYFUNCTION("""COMPUTED_VALUE"""),"Akuntansi")</f>
        <v>Akuntansi</v>
      </c>
      <c r="H378" s="10" t="str">
        <f>IFERROR(__xludf.DUMMYFUNCTION("""COMPUTED_VALUE"""),"Mahasiswa")</f>
        <v>Mahasiswa</v>
      </c>
      <c r="I378" s="6" t="str">
        <f>IFERROR(__xludf.DUMMYFUNCTION("""COMPUTED_VALUE"""),"Ernawati Prehatin Lestari")</f>
        <v>Ernawati Prehatin Lestari</v>
      </c>
      <c r="J378" s="6" t="str">
        <f>IFERROR(__xludf.DUMMYFUNCTION("""COMPUTED_VALUE"""),"Pardi")</f>
        <v>Pardi</v>
      </c>
      <c r="K378" s="6"/>
      <c r="L378" s="6"/>
      <c r="M378" s="6"/>
      <c r="N378" s="6"/>
      <c r="O378" s="6"/>
      <c r="P378" s="10" t="str">
        <f>IFERROR(__xludf.DUMMYFUNCTION("""COMPUTED_VALUE"""),"Ernawati Prehatin Lestari,Pardi,,")</f>
        <v>Ernawati Prehatin Lestari,Pardi,,</v>
      </c>
      <c r="Q378" s="11" t="str">
        <f>IFERROR(__xludf.DUMMYFUNCTION("""COMPUTED_VALUE"""),"https://jurnal.umsu.ac.id/index.php/JAKK/article/view/9924")</f>
        <v>https://jurnal.umsu.ac.id/index.php/JAKK/article/view/9924</v>
      </c>
      <c r="R378" s="6"/>
    </row>
    <row r="379">
      <c r="A379" s="5">
        <f>IFERROR(__xludf.DUMMYFUNCTION("""COMPUTED_VALUE"""),378.0)</f>
        <v>378</v>
      </c>
      <c r="B379" s="6" t="str">
        <f>IFERROR(__xludf.DUMMYFUNCTION("""COMPUTED_VALUE"""),"ANALISIS PENGENDALIAN BAHAN BAKU PADA PRODUKSI PT.KONIMEX SUKOHARJO")</f>
        <v>ANALISIS PENGENDALIAN BAHAN BAKU PADA PRODUKSI PT.KONIMEX SUKOHARJO</v>
      </c>
      <c r="C379" s="7">
        <f>IFERROR(__xludf.DUMMYFUNCTION("""COMPUTED_VALUE"""),2022.0)</f>
        <v>2022</v>
      </c>
      <c r="D379" s="8" t="str">
        <f>IFERROR(__xludf.DUMMYFUNCTION("""COMPUTED_VALUE"""),"2021/2022")</f>
        <v>2021/2022</v>
      </c>
      <c r="E379" s="9">
        <f>IFERROR(__xludf.DUMMYFUNCTION("""COMPUTED_VALUE"""),44686.0)</f>
        <v>44686</v>
      </c>
      <c r="F379" s="5" t="str">
        <f>IFERROR(__xludf.DUMMYFUNCTION("""COMPUTED_VALUE"""),"Genap")</f>
        <v>Genap</v>
      </c>
      <c r="G379" s="5" t="str">
        <f>IFERROR(__xludf.DUMMYFUNCTION("""COMPUTED_VALUE"""),"Akuntansi")</f>
        <v>Akuntansi</v>
      </c>
      <c r="H379" s="10" t="str">
        <f>IFERROR(__xludf.DUMMYFUNCTION("""COMPUTED_VALUE"""),"Mahasiswa")</f>
        <v>Mahasiswa</v>
      </c>
      <c r="I379" s="6" t="str">
        <f>IFERROR(__xludf.DUMMYFUNCTION("""COMPUTED_VALUE"""),"Ryan Budi Prakoso")</f>
        <v>Ryan Budi Prakoso</v>
      </c>
      <c r="J379" s="6" t="str">
        <f>IFERROR(__xludf.DUMMYFUNCTION("""COMPUTED_VALUE"""),"Pardi")</f>
        <v>Pardi</v>
      </c>
      <c r="K379" s="6"/>
      <c r="L379" s="6"/>
      <c r="M379" s="6"/>
      <c r="N379" s="6"/>
      <c r="O379" s="6"/>
      <c r="P379" s="10" t="str">
        <f>IFERROR(__xludf.DUMMYFUNCTION("""COMPUTED_VALUE"""),"Ryan Budi Prakoso,Pardi,,")</f>
        <v>Ryan Budi Prakoso,Pardi,,</v>
      </c>
      <c r="Q379" s="11" t="str">
        <f>IFERROR(__xludf.DUMMYFUNCTION("""COMPUTED_VALUE"""),"https://jurnal.umsu.ac.id/index.php/JAKK/article/view/9984")</f>
        <v>https://jurnal.umsu.ac.id/index.php/JAKK/article/view/9984</v>
      </c>
      <c r="R379" s="6"/>
    </row>
    <row r="380">
      <c r="A380" s="5">
        <f>IFERROR(__xludf.DUMMYFUNCTION("""COMPUTED_VALUE"""),379.0)</f>
        <v>379</v>
      </c>
      <c r="B380" s="6" t="str">
        <f>IFERROR(__xludf.DUMMYFUNCTION("""COMPUTED_VALUE"""),"Pengaruh Kualitas Produk, Inovasi Produk Dan Brand Image Terhadap Keputusan Pembelian Tolak Angin Pada Masa Pandemi Di Surakarta")</f>
        <v>Pengaruh Kualitas Produk, Inovasi Produk Dan Brand Image Terhadap Keputusan Pembelian Tolak Angin Pada Masa Pandemi Di Surakarta</v>
      </c>
      <c r="C380" s="7">
        <f>IFERROR(__xludf.DUMMYFUNCTION("""COMPUTED_VALUE"""),2022.0)</f>
        <v>2022</v>
      </c>
      <c r="D380" s="8" t="str">
        <f>IFERROR(__xludf.DUMMYFUNCTION("""COMPUTED_VALUE"""),"2021/2022")</f>
        <v>2021/2022</v>
      </c>
      <c r="E380" s="9">
        <f>IFERROR(__xludf.DUMMYFUNCTION("""COMPUTED_VALUE"""),44686.0)</f>
        <v>44686</v>
      </c>
      <c r="F380" s="5" t="str">
        <f>IFERROR(__xludf.DUMMYFUNCTION("""COMPUTED_VALUE"""),"Genap")</f>
        <v>Genap</v>
      </c>
      <c r="G380" s="5" t="str">
        <f>IFERROR(__xludf.DUMMYFUNCTION("""COMPUTED_VALUE"""),"Manajemen")</f>
        <v>Manajemen</v>
      </c>
      <c r="H380" s="10" t="str">
        <f>IFERROR(__xludf.DUMMYFUNCTION("""COMPUTED_VALUE"""),"Mahasiswa")</f>
        <v>Mahasiswa</v>
      </c>
      <c r="I380" s="6" t="str">
        <f>IFERROR(__xludf.DUMMYFUNCTION("""COMPUTED_VALUE"""),"Elisabeth Syerin Dean Mavilinda")</f>
        <v>Elisabeth Syerin Dean Mavilinda</v>
      </c>
      <c r="J380" s="6" t="str">
        <f>IFERROR(__xludf.DUMMYFUNCTION("""COMPUTED_VALUE"""),"Ari Susanti")</f>
        <v>Ari Susanti</v>
      </c>
      <c r="K380" s="6"/>
      <c r="L380" s="6"/>
      <c r="M380" s="6"/>
      <c r="N380" s="6"/>
      <c r="O380" s="6"/>
      <c r="P380" s="10" t="str">
        <f>IFERROR(__xludf.DUMMYFUNCTION("""COMPUTED_VALUE"""),"Elisabeth Syerin Dean Mavilinda,Ari Susanti,,")</f>
        <v>Elisabeth Syerin Dean Mavilinda,Ari Susanti,,</v>
      </c>
      <c r="Q380" s="11" t="str">
        <f>IFERROR(__xludf.DUMMYFUNCTION("""COMPUTED_VALUE"""),"https://itskhatulistiwa.ac.id/ojsapresiasiekonomi/index.php/apresiasiekonomi/article/view/460")</f>
        <v>https://itskhatulistiwa.ac.id/ojsapresiasiekonomi/index.php/apresiasiekonomi/article/view/460</v>
      </c>
      <c r="R380" s="6"/>
    </row>
    <row r="381">
      <c r="A381" s="5">
        <f>IFERROR(__xludf.DUMMYFUNCTION("""COMPUTED_VALUE"""),380.0)</f>
        <v>380</v>
      </c>
      <c r="B381" s="6" t="str">
        <f>IFERROR(__xludf.DUMMYFUNCTION("""COMPUTED_VALUE"""),"Pengaruh Kualitas Layanan, Promosi, Dan Harga Terhadap Kepuasan Konsumen Kfc Di Surakarta")</f>
        <v>Pengaruh Kualitas Layanan, Promosi, Dan Harga Terhadap Kepuasan Konsumen Kfc Di Surakarta</v>
      </c>
      <c r="C381" s="7">
        <f>IFERROR(__xludf.DUMMYFUNCTION("""COMPUTED_VALUE"""),2022.0)</f>
        <v>2022</v>
      </c>
      <c r="D381" s="8" t="str">
        <f>IFERROR(__xludf.DUMMYFUNCTION("""COMPUTED_VALUE"""),"2021/2022")</f>
        <v>2021/2022</v>
      </c>
      <c r="E381" s="9">
        <f>IFERROR(__xludf.DUMMYFUNCTION("""COMPUTED_VALUE"""),44686.0)</f>
        <v>44686</v>
      </c>
      <c r="F381" s="5" t="str">
        <f>IFERROR(__xludf.DUMMYFUNCTION("""COMPUTED_VALUE"""),"Genap")</f>
        <v>Genap</v>
      </c>
      <c r="G381" s="5" t="str">
        <f>IFERROR(__xludf.DUMMYFUNCTION("""COMPUTED_VALUE"""),"Manajemen")</f>
        <v>Manajemen</v>
      </c>
      <c r="H381" s="10" t="str">
        <f>IFERROR(__xludf.DUMMYFUNCTION("""COMPUTED_VALUE"""),"Mahasiswa")</f>
        <v>Mahasiswa</v>
      </c>
      <c r="I381" s="6" t="str">
        <f>IFERROR(__xludf.DUMMYFUNCTION("""COMPUTED_VALUE"""),"Irma Suci Rahayu")</f>
        <v>Irma Suci Rahayu</v>
      </c>
      <c r="J381" s="6" t="str">
        <f>IFERROR(__xludf.DUMMYFUNCTION("""COMPUTED_VALUE"""),"Ari Susanti")</f>
        <v>Ari Susanti</v>
      </c>
      <c r="K381" s="6"/>
      <c r="L381" s="6"/>
      <c r="M381" s="6"/>
      <c r="N381" s="6"/>
      <c r="O381" s="6"/>
      <c r="P381" s="10" t="str">
        <f>IFERROR(__xludf.DUMMYFUNCTION("""COMPUTED_VALUE"""),"Irma Suci Rahayu,Ari Susanti,,")</f>
        <v>Irma Suci Rahayu,Ari Susanti,,</v>
      </c>
      <c r="Q381" s="11" t="str">
        <f>IFERROR(__xludf.DUMMYFUNCTION("""COMPUTED_VALUE"""),"https://ejournal.urindo.ac.id/index.php/administrasimanajemen/article/view/2174")</f>
        <v>https://ejournal.urindo.ac.id/index.php/administrasimanajemen/article/view/2174</v>
      </c>
      <c r="R381" s="6"/>
    </row>
    <row r="382">
      <c r="A382" s="5">
        <f>IFERROR(__xludf.DUMMYFUNCTION("""COMPUTED_VALUE"""),381.0)</f>
        <v>381</v>
      </c>
      <c r="B382" s="6" t="str">
        <f>IFERROR(__xludf.DUMMYFUNCTION("""COMPUTED_VALUE"""),"Analisis Pengendalian Bahan Baku Pada Produksi PT Konimex Sukoharjo")</f>
        <v>Analisis Pengendalian Bahan Baku Pada Produksi PT Konimex Sukoharjo</v>
      </c>
      <c r="C382" s="7">
        <f>IFERROR(__xludf.DUMMYFUNCTION("""COMPUTED_VALUE"""),2022.0)</f>
        <v>2022</v>
      </c>
      <c r="D382" s="8" t="str">
        <f>IFERROR(__xludf.DUMMYFUNCTION("""COMPUTED_VALUE"""),"2021/2022")</f>
        <v>2021/2022</v>
      </c>
      <c r="E382" s="9">
        <f>IFERROR(__xludf.DUMMYFUNCTION("""COMPUTED_VALUE"""),44686.0)</f>
        <v>44686</v>
      </c>
      <c r="F382" s="5" t="str">
        <f>IFERROR(__xludf.DUMMYFUNCTION("""COMPUTED_VALUE"""),"Genap")</f>
        <v>Genap</v>
      </c>
      <c r="G382" s="5" t="str">
        <f>IFERROR(__xludf.DUMMYFUNCTION("""COMPUTED_VALUE"""),"Akuntansi")</f>
        <v>Akuntansi</v>
      </c>
      <c r="H382" s="10" t="str">
        <f>IFERROR(__xludf.DUMMYFUNCTION("""COMPUTED_VALUE"""),"Mahasiswa")</f>
        <v>Mahasiswa</v>
      </c>
      <c r="I382" s="6" t="str">
        <f>IFERROR(__xludf.DUMMYFUNCTION("""COMPUTED_VALUE"""),"Ryan Budi Prakoso")</f>
        <v>Ryan Budi Prakoso</v>
      </c>
      <c r="J382" s="6" t="str">
        <f>IFERROR(__xludf.DUMMYFUNCTION("""COMPUTED_VALUE"""),"Pardi")</f>
        <v>Pardi</v>
      </c>
      <c r="K382" s="6"/>
      <c r="L382" s="6"/>
      <c r="M382" s="6"/>
      <c r="N382" s="6"/>
      <c r="O382" s="6"/>
      <c r="P382" s="10" t="str">
        <f>IFERROR(__xludf.DUMMYFUNCTION("""COMPUTED_VALUE"""),"Ryan Budi Prakoso,Pardi,,")</f>
        <v>Ryan Budi Prakoso,Pardi,,</v>
      </c>
      <c r="Q382" s="11" t="str">
        <f>IFERROR(__xludf.DUMMYFUNCTION("""COMPUTED_VALUE"""),"https://jurnal.umsu.ac.id/index.php/JAKK/article/view/9984")</f>
        <v>https://jurnal.umsu.ac.id/index.php/JAKK/article/view/9984</v>
      </c>
      <c r="R382" s="6"/>
    </row>
    <row r="383">
      <c r="A383" s="5">
        <f>IFERROR(__xludf.DUMMYFUNCTION("""COMPUTED_VALUE"""),382.0)</f>
        <v>382</v>
      </c>
      <c r="B383" s="6" t="str">
        <f>IFERROR(__xludf.DUMMYFUNCTION("""COMPUTED_VALUE"""),"Kajian Prosedur Akuntansi Kas CV. Tausan")</f>
        <v>Kajian Prosedur Akuntansi Kas CV. Tausan</v>
      </c>
      <c r="C383" s="7">
        <f>IFERROR(__xludf.DUMMYFUNCTION("""COMPUTED_VALUE"""),2022.0)</f>
        <v>2022</v>
      </c>
      <c r="D383" s="8" t="str">
        <f>IFERROR(__xludf.DUMMYFUNCTION("""COMPUTED_VALUE"""),"2021/2022")</f>
        <v>2021/2022</v>
      </c>
      <c r="E383" s="9">
        <f>IFERROR(__xludf.DUMMYFUNCTION("""COMPUTED_VALUE"""),44686.0)</f>
        <v>44686</v>
      </c>
      <c r="F383" s="5" t="str">
        <f>IFERROR(__xludf.DUMMYFUNCTION("""COMPUTED_VALUE"""),"Genap")</f>
        <v>Genap</v>
      </c>
      <c r="G383" s="5" t="str">
        <f>IFERROR(__xludf.DUMMYFUNCTION("""COMPUTED_VALUE"""),"")</f>
        <v/>
      </c>
      <c r="H383" s="10" t="str">
        <f>IFERROR(__xludf.DUMMYFUNCTION("""COMPUTED_VALUE"""),"Mahasiswa")</f>
        <v>Mahasiswa</v>
      </c>
      <c r="I383" s="6" t="str">
        <f>IFERROR(__xludf.DUMMYFUNCTION("""COMPUTED_VALUE"""),"Ernawati Prehatin Lestari")</f>
        <v>Ernawati Prehatin Lestari</v>
      </c>
      <c r="J383" s="6"/>
      <c r="K383" s="6"/>
      <c r="L383" s="6"/>
      <c r="M383" s="6"/>
      <c r="N383" s="6"/>
      <c r="O383" s="6"/>
      <c r="P383" s="10" t="str">
        <f>IFERROR(__xludf.DUMMYFUNCTION("""COMPUTED_VALUE"""),"Ernawati Prehatin Lestari,,,")</f>
        <v>Ernawati Prehatin Lestari,,,</v>
      </c>
      <c r="Q383" s="11" t="str">
        <f>IFERROR(__xludf.DUMMYFUNCTION("""COMPUTED_VALUE"""),"https://jurnal.umsu.ac.id/index.php/JAKK/article/view/9924")</f>
        <v>https://jurnal.umsu.ac.id/index.php/JAKK/article/view/9924</v>
      </c>
      <c r="R383" s="6"/>
    </row>
    <row r="384">
      <c r="A384" s="5">
        <f>IFERROR(__xludf.DUMMYFUNCTION("""COMPUTED_VALUE"""),383.0)</f>
        <v>383</v>
      </c>
      <c r="B384" s="6" t="str">
        <f>IFERROR(__xludf.DUMMYFUNCTION("""COMPUTED_VALUE"""),"Pengaruh Kualitas Produk, Harga, dan Promosi Terhadap Keputusan Pembelian Smartphone Oppo")</f>
        <v>Pengaruh Kualitas Produk, Harga, dan Promosi Terhadap Keputusan Pembelian Smartphone Oppo</v>
      </c>
      <c r="C384" s="7">
        <f>IFERROR(__xludf.DUMMYFUNCTION("""COMPUTED_VALUE"""),2022.0)</f>
        <v>2022</v>
      </c>
      <c r="D384" s="8" t="str">
        <f>IFERROR(__xludf.DUMMYFUNCTION("""COMPUTED_VALUE"""),"2021/2022")</f>
        <v>2021/2022</v>
      </c>
      <c r="E384" s="9">
        <f>IFERROR(__xludf.DUMMYFUNCTION("""COMPUTED_VALUE"""),44690.0)</f>
        <v>44690</v>
      </c>
      <c r="F384" s="5" t="str">
        <f>IFERROR(__xludf.DUMMYFUNCTION("""COMPUTED_VALUE"""),"Genap")</f>
        <v>Genap</v>
      </c>
      <c r="G384" s="5" t="str">
        <f>IFERROR(__xludf.DUMMYFUNCTION("""COMPUTED_VALUE"""),"Manajemen")</f>
        <v>Manajemen</v>
      </c>
      <c r="H384" s="10" t="str">
        <f>IFERROR(__xludf.DUMMYFUNCTION("""COMPUTED_VALUE"""),"Mahasiswa")</f>
        <v>Mahasiswa</v>
      </c>
      <c r="I384" s="6" t="str">
        <f>IFERROR(__xludf.DUMMYFUNCTION("""COMPUTED_VALUE"""),"Agatha Rezkhi Dyanthika Putri")</f>
        <v>Agatha Rezkhi Dyanthika Putri</v>
      </c>
      <c r="J384" s="6" t="str">
        <f>IFERROR(__xludf.DUMMYFUNCTION("""COMPUTED_VALUE"""),"Heny Kurnianingsih")</f>
        <v>Heny Kurnianingsih</v>
      </c>
      <c r="K384" s="6"/>
      <c r="L384" s="6"/>
      <c r="M384" s="6"/>
      <c r="N384" s="6"/>
      <c r="O384" s="6"/>
      <c r="P384" s="10" t="str">
        <f>IFERROR(__xludf.DUMMYFUNCTION("""COMPUTED_VALUE"""),"Agatha Rezkhi Dyanthika Putri,Heny Kurnianingsih,,")</f>
        <v>Agatha Rezkhi Dyanthika Putri,Heny Kurnianingsih,,</v>
      </c>
      <c r="Q384" s="11" t="str">
        <f>IFERROR(__xludf.DUMMYFUNCTION("""COMPUTED_VALUE"""),"https://ejournal.goacademica.com/index.php/jk/article/view/533")</f>
        <v>https://ejournal.goacademica.com/index.php/jk/article/view/533</v>
      </c>
      <c r="R384" s="6"/>
    </row>
    <row r="385">
      <c r="A385" s="5">
        <f>IFERROR(__xludf.DUMMYFUNCTION("""COMPUTED_VALUE"""),384.0)</f>
        <v>384</v>
      </c>
      <c r="B385" s="6" t="str">
        <f>IFERROR(__xludf.DUMMYFUNCTION("""COMPUTED_VALUE"""),"Pengaruh Kualitas Produk, Harga, Dan Promosi Terhadap Keputusan Pembelian Smartphoneoppo")</f>
        <v>Pengaruh Kualitas Produk, Harga, Dan Promosi Terhadap Keputusan Pembelian Smartphoneoppo</v>
      </c>
      <c r="C385" s="7">
        <f>IFERROR(__xludf.DUMMYFUNCTION("""COMPUTED_VALUE"""),2022.0)</f>
        <v>2022</v>
      </c>
      <c r="D385" s="8" t="str">
        <f>IFERROR(__xludf.DUMMYFUNCTION("""COMPUTED_VALUE"""),"2021/2022")</f>
        <v>2021/2022</v>
      </c>
      <c r="E385" s="9">
        <f>IFERROR(__xludf.DUMMYFUNCTION("""COMPUTED_VALUE"""),44690.0)</f>
        <v>44690</v>
      </c>
      <c r="F385" s="5" t="str">
        <f>IFERROR(__xludf.DUMMYFUNCTION("""COMPUTED_VALUE"""),"Genap")</f>
        <v>Genap</v>
      </c>
      <c r="G385" s="5" t="str">
        <f>IFERROR(__xludf.DUMMYFUNCTION("""COMPUTED_VALUE"""),"Manajemen")</f>
        <v>Manajemen</v>
      </c>
      <c r="H385" s="10" t="str">
        <f>IFERROR(__xludf.DUMMYFUNCTION("""COMPUTED_VALUE"""),"Mahasiswa")</f>
        <v>Mahasiswa</v>
      </c>
      <c r="I385" s="6" t="str">
        <f>IFERROR(__xludf.DUMMYFUNCTION("""COMPUTED_VALUE"""),"Agatha Rezkhi Dyanthika Putri")</f>
        <v>Agatha Rezkhi Dyanthika Putri</v>
      </c>
      <c r="J385" s="6" t="str">
        <f>IFERROR(__xludf.DUMMYFUNCTION("""COMPUTED_VALUE"""),"Heny Kurnianingsih")</f>
        <v>Heny Kurnianingsih</v>
      </c>
      <c r="K385" s="6"/>
      <c r="L385" s="6"/>
      <c r="M385" s="6"/>
      <c r="N385" s="6"/>
      <c r="O385" s="6"/>
      <c r="P385" s="10" t="str">
        <f>IFERROR(__xludf.DUMMYFUNCTION("""COMPUTED_VALUE"""),"Agatha Rezkhi Dyanthika Putri,Heny Kurnianingsih,,")</f>
        <v>Agatha Rezkhi Dyanthika Putri,Heny Kurnianingsih,,</v>
      </c>
      <c r="Q385" s="11" t="str">
        <f>IFERROR(__xludf.DUMMYFUNCTION("""COMPUTED_VALUE"""),"https://ejournal.goacademica.com/index.php/jk/article/view/533")</f>
        <v>https://ejournal.goacademica.com/index.php/jk/article/view/533</v>
      </c>
      <c r="R385" s="6"/>
    </row>
    <row r="386">
      <c r="A386" s="5">
        <f>IFERROR(__xludf.DUMMYFUNCTION("""COMPUTED_VALUE"""),385.0)</f>
        <v>385</v>
      </c>
      <c r="B386" s="6" t="str">
        <f>IFERROR(__xludf.DUMMYFUNCTION("""COMPUTED_VALUE"""),"Leterasi Akuntansi UMKM di Kelompok Sadar Wisata Manua Tirta Ponggok Polanharjo Klaten")</f>
        <v>Leterasi Akuntansi UMKM di Kelompok Sadar Wisata Manua Tirta Ponggok Polanharjo Klaten</v>
      </c>
      <c r="C386" s="7">
        <f>IFERROR(__xludf.DUMMYFUNCTION("""COMPUTED_VALUE"""),2022.0)</f>
        <v>2022</v>
      </c>
      <c r="D386" s="8" t="str">
        <f>IFERROR(__xludf.DUMMYFUNCTION("""COMPUTED_VALUE"""),"2021/2022")</f>
        <v>2021/2022</v>
      </c>
      <c r="E386" s="9">
        <f>IFERROR(__xludf.DUMMYFUNCTION("""COMPUTED_VALUE"""),44692.0)</f>
        <v>44692</v>
      </c>
      <c r="F386" s="5" t="str">
        <f>IFERROR(__xludf.DUMMYFUNCTION("""COMPUTED_VALUE"""),"Genap")</f>
        <v>Genap</v>
      </c>
      <c r="G386" s="5" t="str">
        <f>IFERROR(__xludf.DUMMYFUNCTION("""COMPUTED_VALUE"""),"Akuntansi")</f>
        <v>Akuntansi</v>
      </c>
      <c r="H386" s="10" t="str">
        <f>IFERROR(__xludf.DUMMYFUNCTION("""COMPUTED_VALUE"""),"Dosen")</f>
        <v>Dosen</v>
      </c>
      <c r="I386" s="6" t="str">
        <f>IFERROR(__xludf.DUMMYFUNCTION("""COMPUTED_VALUE"""),"Pardi")</f>
        <v>Pardi</v>
      </c>
      <c r="J386" s="6"/>
      <c r="K386" s="6"/>
      <c r="L386" s="6"/>
      <c r="M386" s="6"/>
      <c r="N386" s="6"/>
      <c r="O386" s="6"/>
      <c r="P386" s="10" t="str">
        <f>IFERROR(__xludf.DUMMYFUNCTION("""COMPUTED_VALUE"""),"Pardi,,,")</f>
        <v>Pardi,,,</v>
      </c>
      <c r="Q386" s="11" t="str">
        <f>IFERROR(__xludf.DUMMYFUNCTION("""COMPUTED_VALUE"""),"https://jurnalpengabdian.stiesurakarta.ac.id/index.php/Dms/article/view/4")</f>
        <v>https://jurnalpengabdian.stiesurakarta.ac.id/index.php/Dms/article/view/4</v>
      </c>
      <c r="R386" s="6"/>
    </row>
    <row r="387">
      <c r="A387" s="5">
        <f>IFERROR(__xludf.DUMMYFUNCTION("""COMPUTED_VALUE"""),386.0)</f>
        <v>386</v>
      </c>
      <c r="B387" s="6" t="str">
        <f>IFERROR(__xludf.DUMMYFUNCTION("""COMPUTED_VALUE"""),"Meningkatkan Nilai Ekonomi Produk Turunan Ikan Lele Pada UMKM Bapak Supriyadi dan PKK Dukuh Tegalsale Dengan Mitra UMKM Komunitas Difabel Klaten")</f>
        <v>Meningkatkan Nilai Ekonomi Produk Turunan Ikan Lele Pada UMKM Bapak Supriyadi dan PKK Dukuh Tegalsale Dengan Mitra UMKM Komunitas Difabel Klaten</v>
      </c>
      <c r="C387" s="7">
        <f>IFERROR(__xludf.DUMMYFUNCTION("""COMPUTED_VALUE"""),2022.0)</f>
        <v>2022</v>
      </c>
      <c r="D387" s="8" t="str">
        <f>IFERROR(__xludf.DUMMYFUNCTION("""COMPUTED_VALUE"""),"2021/2022")</f>
        <v>2021/2022</v>
      </c>
      <c r="E387" s="9">
        <f>IFERROR(__xludf.DUMMYFUNCTION("""COMPUTED_VALUE"""),44692.0)</f>
        <v>44692</v>
      </c>
      <c r="F387" s="5" t="str">
        <f>IFERROR(__xludf.DUMMYFUNCTION("""COMPUTED_VALUE"""),"Genap")</f>
        <v>Genap</v>
      </c>
      <c r="G387" s="5" t="str">
        <f>IFERROR(__xludf.DUMMYFUNCTION("""COMPUTED_VALUE"""),"Akuntansi")</f>
        <v>Akuntansi</v>
      </c>
      <c r="H387" s="10" t="str">
        <f>IFERROR(__xludf.DUMMYFUNCTION("""COMPUTED_VALUE"""),"Dosen")</f>
        <v>Dosen</v>
      </c>
      <c r="I387" s="6" t="str">
        <f>IFERROR(__xludf.DUMMYFUNCTION("""COMPUTED_VALUE"""),"Arif Nugroho Rachman")</f>
        <v>Arif Nugroho Rachman</v>
      </c>
      <c r="J387" s="6" t="str">
        <f>IFERROR(__xludf.DUMMYFUNCTION("""COMPUTED_VALUE"""),"Amy Wulandari")</f>
        <v>Amy Wulandari</v>
      </c>
      <c r="K387" s="6"/>
      <c r="L387" s="6"/>
      <c r="M387" s="6"/>
      <c r="N387" s="6"/>
      <c r="O387" s="6"/>
      <c r="P387" s="10" t="str">
        <f>IFERROR(__xludf.DUMMYFUNCTION("""COMPUTED_VALUE"""),"Arif Nugroho Rachman,Amy Wulandari,,")</f>
        <v>Arif Nugroho Rachman,Amy Wulandari,,</v>
      </c>
      <c r="Q387" s="11" t="str">
        <f>IFERROR(__xludf.DUMMYFUNCTION("""COMPUTED_VALUE"""),"https://jurnalpengabdian.stiesurakarta.ac.id/index.php/Dms/article/view/2")</f>
        <v>https://jurnalpengabdian.stiesurakarta.ac.id/index.php/Dms/article/view/2</v>
      </c>
      <c r="R387" s="6"/>
    </row>
    <row r="388">
      <c r="A388" s="5">
        <f>IFERROR(__xludf.DUMMYFUNCTION("""COMPUTED_VALUE"""),387.0)</f>
        <v>387</v>
      </c>
      <c r="B388" s="6" t="str">
        <f>IFERROR(__xludf.DUMMYFUNCTION("""COMPUTED_VALUE"""),"Analisis Pemberian Kredit Pada Koperasi Simpan Pinjam Pamuji")</f>
        <v>Analisis Pemberian Kredit Pada Koperasi Simpan Pinjam Pamuji</v>
      </c>
      <c r="C388" s="7">
        <f>IFERROR(__xludf.DUMMYFUNCTION("""COMPUTED_VALUE"""),2022.0)</f>
        <v>2022</v>
      </c>
      <c r="D388" s="8" t="str">
        <f>IFERROR(__xludf.DUMMYFUNCTION("""COMPUTED_VALUE"""),"2021/2022")</f>
        <v>2021/2022</v>
      </c>
      <c r="E388" s="9">
        <f>IFERROR(__xludf.DUMMYFUNCTION("""COMPUTED_VALUE"""),44693.0)</f>
        <v>44693</v>
      </c>
      <c r="F388" s="5" t="str">
        <f>IFERROR(__xludf.DUMMYFUNCTION("""COMPUTED_VALUE"""),"Genap")</f>
        <v>Genap</v>
      </c>
      <c r="G388" s="5" t="str">
        <f>IFERROR(__xludf.DUMMYFUNCTION("""COMPUTED_VALUE"""),"Akuntansi")</f>
        <v>Akuntansi</v>
      </c>
      <c r="H388" s="10" t="str">
        <f>IFERROR(__xludf.DUMMYFUNCTION("""COMPUTED_VALUE"""),"Mahasiswa")</f>
        <v>Mahasiswa</v>
      </c>
      <c r="I388" s="6" t="str">
        <f>IFERROR(__xludf.DUMMYFUNCTION("""COMPUTED_VALUE"""),"Dika Santa Claudya")</f>
        <v>Dika Santa Claudya</v>
      </c>
      <c r="J388" s="6" t="str">
        <f>IFERROR(__xludf.DUMMYFUNCTION("""COMPUTED_VALUE"""),"Pardi")</f>
        <v>Pardi</v>
      </c>
      <c r="K388" s="6"/>
      <c r="L388" s="6"/>
      <c r="M388" s="6"/>
      <c r="N388" s="6"/>
      <c r="O388" s="6"/>
      <c r="P388" s="10" t="str">
        <f>IFERROR(__xludf.DUMMYFUNCTION("""COMPUTED_VALUE"""),"Dika Santa Claudya,Pardi,,")</f>
        <v>Dika Santa Claudya,Pardi,,</v>
      </c>
      <c r="Q388" s="11" t="str">
        <f>IFERROR(__xludf.DUMMYFUNCTION("""COMPUTED_VALUE"""),"https://jurnal.stietrisnanegara.ac.id/index.php/aktual/article/view/150")</f>
        <v>https://jurnal.stietrisnanegara.ac.id/index.php/aktual/article/view/150</v>
      </c>
      <c r="R388" s="6"/>
    </row>
    <row r="389">
      <c r="A389" s="5">
        <f>IFERROR(__xludf.DUMMYFUNCTION("""COMPUTED_VALUE"""),388.0)</f>
        <v>388</v>
      </c>
      <c r="B389" s="6" t="str">
        <f>IFERROR(__xludf.DUMMYFUNCTION("""COMPUTED_VALUE"""),"Pengaruh Harga, Kualitas Produk, Iklan Dan Celebrity Endorser Terhadap Keputusan Pembelian Produk Scarlett Whitening")</f>
        <v>Pengaruh Harga, Kualitas Produk, Iklan Dan Celebrity Endorser Terhadap Keputusan Pembelian Produk Scarlett Whitening</v>
      </c>
      <c r="C389" s="7">
        <f>IFERROR(__xludf.DUMMYFUNCTION("""COMPUTED_VALUE"""),2022.0)</f>
        <v>2022</v>
      </c>
      <c r="D389" s="8" t="str">
        <f>IFERROR(__xludf.DUMMYFUNCTION("""COMPUTED_VALUE"""),"2021/2022")</f>
        <v>2021/2022</v>
      </c>
      <c r="E389" s="9">
        <f>IFERROR(__xludf.DUMMYFUNCTION("""COMPUTED_VALUE"""),44693.0)</f>
        <v>44693</v>
      </c>
      <c r="F389" s="5" t="str">
        <f>IFERROR(__xludf.DUMMYFUNCTION("""COMPUTED_VALUE"""),"Genap")</f>
        <v>Genap</v>
      </c>
      <c r="G389" s="5" t="str">
        <f>IFERROR(__xludf.DUMMYFUNCTION("""COMPUTED_VALUE"""),"Manajemen")</f>
        <v>Manajemen</v>
      </c>
      <c r="H389" s="10" t="str">
        <f>IFERROR(__xludf.DUMMYFUNCTION("""COMPUTED_VALUE"""),"Mahasiswa")</f>
        <v>Mahasiswa</v>
      </c>
      <c r="I389" s="6" t="str">
        <f>IFERROR(__xludf.DUMMYFUNCTION("""COMPUTED_VALUE"""),"Ayu Sekar Intan Nofita Kartika Sari")</f>
        <v>Ayu Sekar Intan Nofita Kartika Sari</v>
      </c>
      <c r="J389" s="6" t="str">
        <f>IFERROR(__xludf.DUMMYFUNCTION("""COMPUTED_VALUE"""),"Heny Kurnianingsih")</f>
        <v>Heny Kurnianingsih</v>
      </c>
      <c r="K389" s="6"/>
      <c r="L389" s="6"/>
      <c r="M389" s="6"/>
      <c r="N389" s="6"/>
      <c r="O389" s="6"/>
      <c r="P389" s="10" t="str">
        <f>IFERROR(__xludf.DUMMYFUNCTION("""COMPUTED_VALUE"""),"Ayu Sekar Intan Nofita Kartika Sari,Heny Kurnianingsih,,")</f>
        <v>Ayu Sekar Intan Nofita Kartika Sari,Heny Kurnianingsih,,</v>
      </c>
      <c r="Q389" s="11" t="str">
        <f>IFERROR(__xludf.DUMMYFUNCTION("""COMPUTED_VALUE"""),"https://jurnal.stietrisnanegara.ac.id/index.php/aktual/article/view/152")</f>
        <v>https://jurnal.stietrisnanegara.ac.id/index.php/aktual/article/view/152</v>
      </c>
      <c r="R389" s="6"/>
    </row>
    <row r="390">
      <c r="A390" s="5">
        <f>IFERROR(__xludf.DUMMYFUNCTION("""COMPUTED_VALUE"""),389.0)</f>
        <v>389</v>
      </c>
      <c r="B390" s="6" t="str">
        <f>IFERROR(__xludf.DUMMYFUNCTION("""COMPUTED_VALUE"""),"FAKTOR-FAKTOR YANG MEMPENGARUHI MINAT BERLANGGANAN MUSIC ON DEMAN (SPOTIFY)")</f>
        <v>FAKTOR-FAKTOR YANG MEMPENGARUHI MINAT BERLANGGANAN MUSIC ON DEMAN (SPOTIFY)</v>
      </c>
      <c r="C390" s="7">
        <f>IFERROR(__xludf.DUMMYFUNCTION("""COMPUTED_VALUE"""),2022.0)</f>
        <v>2022</v>
      </c>
      <c r="D390" s="8" t="str">
        <f>IFERROR(__xludf.DUMMYFUNCTION("""COMPUTED_VALUE"""),"2021/2022")</f>
        <v>2021/2022</v>
      </c>
      <c r="E390" s="9">
        <f>IFERROR(__xludf.DUMMYFUNCTION("""COMPUTED_VALUE"""),44695.0)</f>
        <v>44695</v>
      </c>
      <c r="F390" s="5" t="str">
        <f>IFERROR(__xludf.DUMMYFUNCTION("""COMPUTED_VALUE"""),"Genap")</f>
        <v>Genap</v>
      </c>
      <c r="G390" s="5" t="str">
        <f>IFERROR(__xludf.DUMMYFUNCTION("""COMPUTED_VALUE"""),"Manajemen")</f>
        <v>Manajemen</v>
      </c>
      <c r="H390" s="10" t="str">
        <f>IFERROR(__xludf.DUMMYFUNCTION("""COMPUTED_VALUE"""),"Mahasiswa")</f>
        <v>Mahasiswa</v>
      </c>
      <c r="I390" s="6" t="str">
        <f>IFERROR(__xludf.DUMMYFUNCTION("""COMPUTED_VALUE"""),"Dwi Febri Kurniyati")</f>
        <v>Dwi Febri Kurniyati</v>
      </c>
      <c r="J390" s="6" t="str">
        <f>IFERROR(__xludf.DUMMYFUNCTION("""COMPUTED_VALUE"""),"Ginanjar Rahmawan")</f>
        <v>Ginanjar Rahmawan</v>
      </c>
      <c r="K390" s="6"/>
      <c r="L390" s="6"/>
      <c r="M390" s="6"/>
      <c r="N390" s="6"/>
      <c r="O390" s="6"/>
      <c r="P390" s="10" t="str">
        <f>IFERROR(__xludf.DUMMYFUNCTION("""COMPUTED_VALUE"""),"Dwi Febri Kurniyati,Ginanjar Rahmawan,,")</f>
        <v>Dwi Febri Kurniyati,Ginanjar Rahmawan,,</v>
      </c>
      <c r="Q390" s="11" t="str">
        <f>IFERROR(__xludf.DUMMYFUNCTION("""COMPUTED_VALUE"""),"https://sosains.greenvest.co.id/index.php/sosains/article/view/395")</f>
        <v>https://sosains.greenvest.co.id/index.php/sosains/article/view/395</v>
      </c>
      <c r="R390" s="6"/>
    </row>
    <row r="391">
      <c r="A391" s="5">
        <f>IFERROR(__xludf.DUMMYFUNCTION("""COMPUTED_VALUE"""),390.0)</f>
        <v>390</v>
      </c>
      <c r="B391" s="6" t="str">
        <f>IFERROR(__xludf.DUMMYFUNCTION("""COMPUTED_VALUE"""),"Faktor-Faktor Yang Mempengaruhi Minat Berlangganan Music On Demand (Spotify)")</f>
        <v>Faktor-Faktor Yang Mempengaruhi Minat Berlangganan Music On Demand (Spotify)</v>
      </c>
      <c r="C391" s="7">
        <f>IFERROR(__xludf.DUMMYFUNCTION("""COMPUTED_VALUE"""),2022.0)</f>
        <v>2022</v>
      </c>
      <c r="D391" s="8" t="str">
        <f>IFERROR(__xludf.DUMMYFUNCTION("""COMPUTED_VALUE"""),"2021/2022")</f>
        <v>2021/2022</v>
      </c>
      <c r="E391" s="9">
        <f>IFERROR(__xludf.DUMMYFUNCTION("""COMPUTED_VALUE"""),44695.0)</f>
        <v>44695</v>
      </c>
      <c r="F391" s="5" t="str">
        <f>IFERROR(__xludf.DUMMYFUNCTION("""COMPUTED_VALUE"""),"Genap")</f>
        <v>Genap</v>
      </c>
      <c r="G391" s="5" t="str">
        <f>IFERROR(__xludf.DUMMYFUNCTION("""COMPUTED_VALUE"""),"Manajemen")</f>
        <v>Manajemen</v>
      </c>
      <c r="H391" s="10" t="str">
        <f>IFERROR(__xludf.DUMMYFUNCTION("""COMPUTED_VALUE"""),"Mahasiswa")</f>
        <v>Mahasiswa</v>
      </c>
      <c r="I391" s="6" t="str">
        <f>IFERROR(__xludf.DUMMYFUNCTION("""COMPUTED_VALUE"""),"Dwi Febri Kurniyati")</f>
        <v>Dwi Febri Kurniyati</v>
      </c>
      <c r="J391" s="6" t="str">
        <f>IFERROR(__xludf.DUMMYFUNCTION("""COMPUTED_VALUE"""),"Ginanjar Rahmawan")</f>
        <v>Ginanjar Rahmawan</v>
      </c>
      <c r="K391" s="6"/>
      <c r="L391" s="6"/>
      <c r="M391" s="6"/>
      <c r="N391" s="6"/>
      <c r="O391" s="6"/>
      <c r="P391" s="10" t="str">
        <f>IFERROR(__xludf.DUMMYFUNCTION("""COMPUTED_VALUE"""),"Dwi Febri Kurniyati,Ginanjar Rahmawan,,")</f>
        <v>Dwi Febri Kurniyati,Ginanjar Rahmawan,,</v>
      </c>
      <c r="Q391" s="11" t="str">
        <f>IFERROR(__xludf.DUMMYFUNCTION("""COMPUTED_VALUE"""),"https://sosains.greenvest.co.id/index.php/sosains/article/view/395")</f>
        <v>https://sosains.greenvest.co.id/index.php/sosains/article/view/395</v>
      </c>
      <c r="R391" s="6"/>
    </row>
    <row r="392">
      <c r="A392" s="5">
        <f>IFERROR(__xludf.DUMMYFUNCTION("""COMPUTED_VALUE"""),391.0)</f>
        <v>391</v>
      </c>
      <c r="B392" s="6" t="str">
        <f>IFERROR(__xludf.DUMMYFUNCTION("""COMPUTED_VALUE"""),"E-service Quality Dan Citra Merek Dalam Membentuk Kepuasan Pelanggan (Study Kasus Reddoorz)")</f>
        <v>E-service Quality Dan Citra Merek Dalam Membentuk Kepuasan Pelanggan (Study Kasus Reddoorz)</v>
      </c>
      <c r="C392" s="7">
        <f>IFERROR(__xludf.DUMMYFUNCTION("""COMPUTED_VALUE"""),2022.0)</f>
        <v>2022</v>
      </c>
      <c r="D392" s="8" t="str">
        <f>IFERROR(__xludf.DUMMYFUNCTION("""COMPUTED_VALUE"""),"2021/2022")</f>
        <v>2021/2022</v>
      </c>
      <c r="E392" s="9">
        <f>IFERROR(__xludf.DUMMYFUNCTION("""COMPUTED_VALUE"""),44696.0)</f>
        <v>44696</v>
      </c>
      <c r="F392" s="5" t="str">
        <f>IFERROR(__xludf.DUMMYFUNCTION("""COMPUTED_VALUE"""),"Genap")</f>
        <v>Genap</v>
      </c>
      <c r="G392" s="5" t="str">
        <f>IFERROR(__xludf.DUMMYFUNCTION("""COMPUTED_VALUE"""),"Manajemen")</f>
        <v>Manajemen</v>
      </c>
      <c r="H392" s="10" t="str">
        <f>IFERROR(__xludf.DUMMYFUNCTION("""COMPUTED_VALUE"""),"Mahasiswa")</f>
        <v>Mahasiswa</v>
      </c>
      <c r="I392" s="6" t="str">
        <f>IFERROR(__xludf.DUMMYFUNCTION("""COMPUTED_VALUE"""),"Arinda Septianisa Wulandari")</f>
        <v>Arinda Septianisa Wulandari</v>
      </c>
      <c r="J392" s="6" t="str">
        <f>IFERROR(__xludf.DUMMYFUNCTION("""COMPUTED_VALUE"""),"Budi Istiyanto")</f>
        <v>Budi Istiyanto</v>
      </c>
      <c r="K392" s="6"/>
      <c r="L392" s="6"/>
      <c r="M392" s="6"/>
      <c r="N392" s="6"/>
      <c r="O392" s="6"/>
      <c r="P392" s="10" t="str">
        <f>IFERROR(__xludf.DUMMYFUNCTION("""COMPUTED_VALUE"""),"Arinda Septianisa Wulandari,Budi Istiyanto,,")</f>
        <v>Arinda Septianisa Wulandari,Budi Istiyanto,,</v>
      </c>
      <c r="Q392" s="11" t="str">
        <f>IFERROR(__xludf.DUMMYFUNCTION("""COMPUTED_VALUE"""),"https://jurnalfe.ustjogja.ac.id/index.php/ekobis/article/view/2957")</f>
        <v>https://jurnalfe.ustjogja.ac.id/index.php/ekobis/article/view/2957</v>
      </c>
      <c r="R392" s="6"/>
    </row>
    <row r="393">
      <c r="A393" s="5">
        <f>IFERROR(__xludf.DUMMYFUNCTION("""COMPUTED_VALUE"""),392.0)</f>
        <v>392</v>
      </c>
      <c r="B393" s="6" t="str">
        <f>IFERROR(__xludf.DUMMYFUNCTION("""COMPUTED_VALUE"""),"Analisis Pengaruh Kualitas Pelayanan, Harga, Word Of Mouth Dan Kualitas Produk Terhadap Keputusan Pembelian Di Batik Danii Gaya Collection")</f>
        <v>Analisis Pengaruh Kualitas Pelayanan, Harga, Word Of Mouth Dan Kualitas Produk Terhadap Keputusan Pembelian Di Batik Danii Gaya Collection</v>
      </c>
      <c r="C393" s="7">
        <f>IFERROR(__xludf.DUMMYFUNCTION("""COMPUTED_VALUE"""),2022.0)</f>
        <v>2022</v>
      </c>
      <c r="D393" s="8" t="str">
        <f>IFERROR(__xludf.DUMMYFUNCTION("""COMPUTED_VALUE"""),"2021/2022")</f>
        <v>2021/2022</v>
      </c>
      <c r="E393" s="9">
        <f>IFERROR(__xludf.DUMMYFUNCTION("""COMPUTED_VALUE"""),44696.0)</f>
        <v>44696</v>
      </c>
      <c r="F393" s="5" t="str">
        <f>IFERROR(__xludf.DUMMYFUNCTION("""COMPUTED_VALUE"""),"Genap")</f>
        <v>Genap</v>
      </c>
      <c r="G393" s="5" t="str">
        <f>IFERROR(__xludf.DUMMYFUNCTION("""COMPUTED_VALUE"""),"Manajemen")</f>
        <v>Manajemen</v>
      </c>
      <c r="H393" s="10" t="str">
        <f>IFERROR(__xludf.DUMMYFUNCTION("""COMPUTED_VALUE"""),"Mahasiswa")</f>
        <v>Mahasiswa</v>
      </c>
      <c r="I393" s="6" t="str">
        <f>IFERROR(__xludf.DUMMYFUNCTION("""COMPUTED_VALUE"""),"Rika Puspaningrum")</f>
        <v>Rika Puspaningrum</v>
      </c>
      <c r="J393" s="6" t="str">
        <f>IFERROR(__xludf.DUMMYFUNCTION("""COMPUTED_VALUE"""),"Andri Nurtantiono")</f>
        <v>Andri Nurtantiono</v>
      </c>
      <c r="K393" s="6"/>
      <c r="L393" s="6"/>
      <c r="M393" s="6"/>
      <c r="N393" s="6"/>
      <c r="O393" s="6"/>
      <c r="P393" s="10" t="str">
        <f>IFERROR(__xludf.DUMMYFUNCTION("""COMPUTED_VALUE"""),"Rika Puspaningrum,Andri Nurtantiono,,")</f>
        <v>Rika Puspaningrum,Andri Nurtantiono,,</v>
      </c>
      <c r="Q393" s="11" t="str">
        <f>IFERROR(__xludf.DUMMYFUNCTION("""COMPUTED_VALUE"""),"https://jurnalfe.ustjogja.ac.id/index.php/ekobis/article/view/2958")</f>
        <v>https://jurnalfe.ustjogja.ac.id/index.php/ekobis/article/view/2958</v>
      </c>
      <c r="R393" s="6"/>
    </row>
    <row r="394">
      <c r="A394" s="5">
        <f>IFERROR(__xludf.DUMMYFUNCTION("""COMPUTED_VALUE"""),393.0)</f>
        <v>393</v>
      </c>
      <c r="B394" s="6" t="str">
        <f>IFERROR(__xludf.DUMMYFUNCTION("""COMPUTED_VALUE"""),"Apa Penting Pembukuan di UKM? Study Kasus Pada Unit Usaha / UKM PPS Adh - Dhuhaa Gentan, Baki , Sukoharjo")</f>
        <v>Apa Penting Pembukuan di UKM? Study Kasus Pada Unit Usaha / UKM PPS Adh - Dhuhaa Gentan, Baki , Sukoharjo</v>
      </c>
      <c r="C394" s="7">
        <f>IFERROR(__xludf.DUMMYFUNCTION("""COMPUTED_VALUE"""),2022.0)</f>
        <v>2022</v>
      </c>
      <c r="D394" s="8" t="str">
        <f>IFERROR(__xludf.DUMMYFUNCTION("""COMPUTED_VALUE"""),"2021/2022")</f>
        <v>2021/2022</v>
      </c>
      <c r="E394" s="9">
        <f>IFERROR(__xludf.DUMMYFUNCTION("""COMPUTED_VALUE"""),44698.0)</f>
        <v>44698</v>
      </c>
      <c r="F394" s="5" t="str">
        <f>IFERROR(__xludf.DUMMYFUNCTION("""COMPUTED_VALUE"""),"Genap")</f>
        <v>Genap</v>
      </c>
      <c r="G394" s="5" t="str">
        <f>IFERROR(__xludf.DUMMYFUNCTION("""COMPUTED_VALUE"""),"Akuntansi")</f>
        <v>Akuntansi</v>
      </c>
      <c r="H394" s="10" t="str">
        <f>IFERROR(__xludf.DUMMYFUNCTION("""COMPUTED_VALUE"""),"Dosen")</f>
        <v>Dosen</v>
      </c>
      <c r="I394" s="6" t="str">
        <f>IFERROR(__xludf.DUMMYFUNCTION("""COMPUTED_VALUE"""),"Ismunawan")</f>
        <v>Ismunawan</v>
      </c>
      <c r="J394" s="6"/>
      <c r="K394" s="6"/>
      <c r="L394" s="6"/>
      <c r="M394" s="6"/>
      <c r="N394" s="6"/>
      <c r="O394" s="6"/>
      <c r="P394" s="10" t="str">
        <f>IFERROR(__xludf.DUMMYFUNCTION("""COMPUTED_VALUE"""),"Ismunawan,,,")</f>
        <v>Ismunawan,,,</v>
      </c>
      <c r="Q394" s="11" t="str">
        <f>IFERROR(__xludf.DUMMYFUNCTION("""COMPUTED_VALUE"""),"https://jurnalpengabdian.stiesurakarta.ac.id/index.php/Dms/article/view/5")</f>
        <v>https://jurnalpengabdian.stiesurakarta.ac.id/index.php/Dms/article/view/5</v>
      </c>
      <c r="R394" s="6"/>
    </row>
    <row r="395">
      <c r="A395" s="5">
        <f>IFERROR(__xludf.DUMMYFUNCTION("""COMPUTED_VALUE"""),394.0)</f>
        <v>394</v>
      </c>
      <c r="B395" s="6" t="str">
        <f>IFERROR(__xludf.DUMMYFUNCTION("""COMPUTED_VALUE"""),"Akuntabilitas Dan Transparansi Catatan Dana Masjid Darul Falah Gentan Sukoharjo")</f>
        <v>Akuntabilitas Dan Transparansi Catatan Dana Masjid Darul Falah Gentan Sukoharjo</v>
      </c>
      <c r="C395" s="7">
        <f>IFERROR(__xludf.DUMMYFUNCTION("""COMPUTED_VALUE"""),2022.0)</f>
        <v>2022</v>
      </c>
      <c r="D395" s="8" t="str">
        <f>IFERROR(__xludf.DUMMYFUNCTION("""COMPUTED_VALUE"""),"2021/2022")</f>
        <v>2021/2022</v>
      </c>
      <c r="E395" s="9">
        <f>IFERROR(__xludf.DUMMYFUNCTION("""COMPUTED_VALUE"""),44700.0)</f>
        <v>44700</v>
      </c>
      <c r="F395" s="5" t="str">
        <f>IFERROR(__xludf.DUMMYFUNCTION("""COMPUTED_VALUE"""),"Genap")</f>
        <v>Genap</v>
      </c>
      <c r="G395" s="5" t="str">
        <f>IFERROR(__xludf.DUMMYFUNCTION("""COMPUTED_VALUE"""),"Akuntansi")</f>
        <v>Akuntansi</v>
      </c>
      <c r="H395" s="10" t="str">
        <f>IFERROR(__xludf.DUMMYFUNCTION("""COMPUTED_VALUE"""),"Mahasiswa")</f>
        <v>Mahasiswa</v>
      </c>
      <c r="I395" s="6" t="str">
        <f>IFERROR(__xludf.DUMMYFUNCTION("""COMPUTED_VALUE"""),"Lia Kusuma Dewantari")</f>
        <v>Lia Kusuma Dewantari</v>
      </c>
      <c r="J395" s="6" t="str">
        <f>IFERROR(__xludf.DUMMYFUNCTION("""COMPUTED_VALUE"""),"Pardi")</f>
        <v>Pardi</v>
      </c>
      <c r="K395" s="6"/>
      <c r="L395" s="6"/>
      <c r="M395" s="6"/>
      <c r="N395" s="6"/>
      <c r="O395" s="6"/>
      <c r="P395" s="10" t="str">
        <f>IFERROR(__xludf.DUMMYFUNCTION("""COMPUTED_VALUE"""),"Lia Kusuma Dewantari,Pardi,,")</f>
        <v>Lia Kusuma Dewantari,Pardi,,</v>
      </c>
      <c r="Q395" s="11" t="str">
        <f>IFERROR(__xludf.DUMMYFUNCTION("""COMPUTED_VALUE"""),"https://ojs.umrah.ac.id/index.php/jiafi/article/view/4211")</f>
        <v>https://ojs.umrah.ac.id/index.php/jiafi/article/view/4211</v>
      </c>
      <c r="R395" s="6"/>
    </row>
    <row r="396">
      <c r="A396" s="5">
        <f>IFERROR(__xludf.DUMMYFUNCTION("""COMPUTED_VALUE"""),395.0)</f>
        <v>395</v>
      </c>
      <c r="B396" s="6" t="str">
        <f>IFERROR(__xludf.DUMMYFUNCTION("""COMPUTED_VALUE"""),"Pengaruh Literasi Keuangan, Gaya Hidup, Konformitas dan Pendapatan terhadap Perilaku Konsumtif pada Mahasiswa di STIE Surakarta")</f>
        <v>Pengaruh Literasi Keuangan, Gaya Hidup, Konformitas dan Pendapatan terhadap Perilaku Konsumtif pada Mahasiswa di STIE Surakarta</v>
      </c>
      <c r="C396" s="7">
        <f>IFERROR(__xludf.DUMMYFUNCTION("""COMPUTED_VALUE"""),2022.0)</f>
        <v>2022</v>
      </c>
      <c r="D396" s="8" t="str">
        <f>IFERROR(__xludf.DUMMYFUNCTION("""COMPUTED_VALUE"""),"2021/2022")</f>
        <v>2021/2022</v>
      </c>
      <c r="E396" s="9">
        <f>IFERROR(__xludf.DUMMYFUNCTION("""COMPUTED_VALUE"""),44704.0)</f>
        <v>44704</v>
      </c>
      <c r="F396" s="5" t="str">
        <f>IFERROR(__xludf.DUMMYFUNCTION("""COMPUTED_VALUE"""),"Genap")</f>
        <v>Genap</v>
      </c>
      <c r="G396" s="5" t="str">
        <f>IFERROR(__xludf.DUMMYFUNCTION("""COMPUTED_VALUE"""),"Manajemen")</f>
        <v>Manajemen</v>
      </c>
      <c r="H396" s="10" t="str">
        <f>IFERROR(__xludf.DUMMYFUNCTION("""COMPUTED_VALUE"""),"Dosen")</f>
        <v>Dosen</v>
      </c>
      <c r="I396" s="6" t="str">
        <f>IFERROR(__xludf.DUMMYFUNCTION("""COMPUTED_VALUE"""),"Ari Susanti")</f>
        <v>Ari Susanti</v>
      </c>
      <c r="J396" s="6" t="str">
        <f>IFERROR(__xludf.DUMMYFUNCTION("""COMPUTED_VALUE"""),"Suryo Mulyo Saputro")</f>
        <v>Suryo Mulyo Saputro</v>
      </c>
      <c r="K396" s="6"/>
      <c r="L396" s="6"/>
      <c r="M396" s="6"/>
      <c r="N396" s="6"/>
      <c r="O396" s="6"/>
      <c r="P396" s="10" t="str">
        <f>IFERROR(__xludf.DUMMYFUNCTION("""COMPUTED_VALUE"""),"Ari Susanti,Suryo Mulyo Saputro,,")</f>
        <v>Ari Susanti,Suryo Mulyo Saputro,,</v>
      </c>
      <c r="Q396" s="11" t="str">
        <f>IFERROR(__xludf.DUMMYFUNCTION("""COMPUTED_VALUE"""),"https://plj.ac.id/ojs/index.php/jambi/article/view/583")</f>
        <v>https://plj.ac.id/ojs/index.php/jambi/article/view/583</v>
      </c>
      <c r="R396" s="6"/>
    </row>
    <row r="397">
      <c r="A397" s="5">
        <f>IFERROR(__xludf.DUMMYFUNCTION("""COMPUTED_VALUE"""),396.0)</f>
        <v>396</v>
      </c>
      <c r="B397" s="6" t="str">
        <f>IFERROR(__xludf.DUMMYFUNCTION("""COMPUTED_VALUE"""),"PENGARUH RECEIVABLE TURN OVER, RASIO TUNGGAKAN, RASIO PENAGIHAN DAN AVERAGE COLLACTION PERIOD TERHADAP LABA PERUSAHAAN")</f>
        <v>PENGARUH RECEIVABLE TURN OVER, RASIO TUNGGAKAN, RASIO PENAGIHAN DAN AVERAGE COLLACTION PERIOD TERHADAP LABA PERUSAHAAN</v>
      </c>
      <c r="C397" s="7">
        <f>IFERROR(__xludf.DUMMYFUNCTION("""COMPUTED_VALUE"""),2022.0)</f>
        <v>2022</v>
      </c>
      <c r="D397" s="8" t="str">
        <f>IFERROR(__xludf.DUMMYFUNCTION("""COMPUTED_VALUE"""),"2021/2022")</f>
        <v>2021/2022</v>
      </c>
      <c r="E397" s="9">
        <f>IFERROR(__xludf.DUMMYFUNCTION("""COMPUTED_VALUE"""),44706.0)</f>
        <v>44706</v>
      </c>
      <c r="F397" s="5" t="str">
        <f>IFERROR(__xludf.DUMMYFUNCTION("""COMPUTED_VALUE"""),"Genap")</f>
        <v>Genap</v>
      </c>
      <c r="G397" s="5" t="str">
        <f>IFERROR(__xludf.DUMMYFUNCTION("""COMPUTED_VALUE"""),"Akuntansi")</f>
        <v>Akuntansi</v>
      </c>
      <c r="H397" s="10" t="str">
        <f>IFERROR(__xludf.DUMMYFUNCTION("""COMPUTED_VALUE"""),"Mahasiswa")</f>
        <v>Mahasiswa</v>
      </c>
      <c r="I397" s="6" t="str">
        <f>IFERROR(__xludf.DUMMYFUNCTION("""COMPUTED_VALUE"""),"Rizqiana Reza Rhomadhona")</f>
        <v>Rizqiana Reza Rhomadhona</v>
      </c>
      <c r="J397" s="6" t="str">
        <f>IFERROR(__xludf.DUMMYFUNCTION("""COMPUTED_VALUE"""),"Ismunawan")</f>
        <v>Ismunawan</v>
      </c>
      <c r="K397" s="6"/>
      <c r="L397" s="6"/>
      <c r="M397" s="6"/>
      <c r="N397" s="6"/>
      <c r="O397" s="6"/>
      <c r="P397" s="10" t="str">
        <f>IFERROR(__xludf.DUMMYFUNCTION("""COMPUTED_VALUE"""),"Rizqiana Reza Rhomadhona,Ismunawan,,")</f>
        <v>Rizqiana Reza Rhomadhona,Ismunawan,,</v>
      </c>
      <c r="Q397" s="11" t="str">
        <f>IFERROR(__xludf.DUMMYFUNCTION("""COMPUTED_VALUE"""),"https://bajangjournal.com/index.php/JEMBA/article/view/2210")</f>
        <v>https://bajangjournal.com/index.php/JEMBA/article/view/2210</v>
      </c>
      <c r="R397" s="6"/>
    </row>
    <row r="398">
      <c r="A398" s="5">
        <f>IFERROR(__xludf.DUMMYFUNCTION("""COMPUTED_VALUE"""),397.0)</f>
        <v>397</v>
      </c>
      <c r="B398" s="6" t="str">
        <f>IFERROR(__xludf.DUMMYFUNCTION("""COMPUTED_VALUE"""),"DETERMINAN YANG MEMPENGARUHI HARGA SAHAM")</f>
        <v>DETERMINAN YANG MEMPENGARUHI HARGA SAHAM</v>
      </c>
      <c r="C398" s="7">
        <f>IFERROR(__xludf.DUMMYFUNCTION("""COMPUTED_VALUE"""),2022.0)</f>
        <v>2022</v>
      </c>
      <c r="D398" s="8" t="str">
        <f>IFERROR(__xludf.DUMMYFUNCTION("""COMPUTED_VALUE"""),"2021/2022")</f>
        <v>2021/2022</v>
      </c>
      <c r="E398" s="9">
        <f>IFERROR(__xludf.DUMMYFUNCTION("""COMPUTED_VALUE"""),44706.0)</f>
        <v>44706</v>
      </c>
      <c r="F398" s="5" t="str">
        <f>IFERROR(__xludf.DUMMYFUNCTION("""COMPUTED_VALUE"""),"Genap")</f>
        <v>Genap</v>
      </c>
      <c r="G398" s="5" t="str">
        <f>IFERROR(__xludf.DUMMYFUNCTION("""COMPUTED_VALUE"""),"Akuntansi")</f>
        <v>Akuntansi</v>
      </c>
      <c r="H398" s="10" t="str">
        <f>IFERROR(__xludf.DUMMYFUNCTION("""COMPUTED_VALUE"""),"Mahasiswa")</f>
        <v>Mahasiswa</v>
      </c>
      <c r="I398" s="6" t="str">
        <f>IFERROR(__xludf.DUMMYFUNCTION("""COMPUTED_VALUE"""),"Nindi Sulistianingsih")</f>
        <v>Nindi Sulistianingsih</v>
      </c>
      <c r="J398" s="6" t="str">
        <f>IFERROR(__xludf.DUMMYFUNCTION("""COMPUTED_VALUE"""),"Ismunawan")</f>
        <v>Ismunawan</v>
      </c>
      <c r="K398" s="6"/>
      <c r="L398" s="6"/>
      <c r="M398" s="6"/>
      <c r="N398" s="6"/>
      <c r="O398" s="6"/>
      <c r="P398" s="10" t="str">
        <f>IFERROR(__xludf.DUMMYFUNCTION("""COMPUTED_VALUE"""),"Nindi Sulistianingsih,Ismunawan,,")</f>
        <v>Nindi Sulistianingsih,Ismunawan,,</v>
      </c>
      <c r="Q398" s="11" t="str">
        <f>IFERROR(__xludf.DUMMYFUNCTION("""COMPUTED_VALUE"""),"https://bajangjournal.com/index.php/JEMBA/article/view/2209")</f>
        <v>https://bajangjournal.com/index.php/JEMBA/article/view/2209</v>
      </c>
      <c r="R398" s="6"/>
    </row>
    <row r="399">
      <c r="A399" s="5">
        <f>IFERROR(__xludf.DUMMYFUNCTION("""COMPUTED_VALUE"""),398.0)</f>
        <v>398</v>
      </c>
      <c r="B399" s="6" t="str">
        <f>IFERROR(__xludf.DUMMYFUNCTION("""COMPUTED_VALUE"""),"PENGARUH PENGANGGURAN PERTUMBUHAN EKONOMI KEMISKINAN DAN TINGKAT KETERGANTUNGAN TERHADAP KINERJA KEUANGAN PEMERINTAH DAERAH")</f>
        <v>PENGARUH PENGANGGURAN PERTUMBUHAN EKONOMI KEMISKINAN DAN TINGKAT KETERGANTUNGAN TERHADAP KINERJA KEUANGAN PEMERINTAH DAERAH</v>
      </c>
      <c r="C399" s="7">
        <f>IFERROR(__xludf.DUMMYFUNCTION("""COMPUTED_VALUE"""),2022.0)</f>
        <v>2022</v>
      </c>
      <c r="D399" s="8" t="str">
        <f>IFERROR(__xludf.DUMMYFUNCTION("""COMPUTED_VALUE"""),"2021/2022")</f>
        <v>2021/2022</v>
      </c>
      <c r="E399" s="9">
        <f>IFERROR(__xludf.DUMMYFUNCTION("""COMPUTED_VALUE"""),44706.0)</f>
        <v>44706</v>
      </c>
      <c r="F399" s="5" t="str">
        <f>IFERROR(__xludf.DUMMYFUNCTION("""COMPUTED_VALUE"""),"Genap")</f>
        <v>Genap</v>
      </c>
      <c r="G399" s="5" t="str">
        <f>IFERROR(__xludf.DUMMYFUNCTION("""COMPUTED_VALUE"""),"Akuntansi")</f>
        <v>Akuntansi</v>
      </c>
      <c r="H399" s="10" t="str">
        <f>IFERROR(__xludf.DUMMYFUNCTION("""COMPUTED_VALUE"""),"Mahasiswa")</f>
        <v>Mahasiswa</v>
      </c>
      <c r="I399" s="6" t="str">
        <f>IFERROR(__xludf.DUMMYFUNCTION("""COMPUTED_VALUE"""),"Indah Setiani")</f>
        <v>Indah Setiani</v>
      </c>
      <c r="J399" s="6" t="str">
        <f>IFERROR(__xludf.DUMMYFUNCTION("""COMPUTED_VALUE"""),"Ismunawan")</f>
        <v>Ismunawan</v>
      </c>
      <c r="K399" s="6"/>
      <c r="L399" s="6"/>
      <c r="M399" s="6"/>
      <c r="N399" s="6"/>
      <c r="O399" s="6"/>
      <c r="P399" s="10" t="str">
        <f>IFERROR(__xludf.DUMMYFUNCTION("""COMPUTED_VALUE"""),"Indah Setiani,Ismunawan,,")</f>
        <v>Indah Setiani,Ismunawan,,</v>
      </c>
      <c r="Q399" s="11" t="str">
        <f>IFERROR(__xludf.DUMMYFUNCTION("""COMPUTED_VALUE"""),"https://bajangjournal.com/index.php/JEMBA/article/view/2201")</f>
        <v>https://bajangjournal.com/index.php/JEMBA/article/view/2201</v>
      </c>
      <c r="R399" s="6"/>
    </row>
    <row r="400">
      <c r="A400" s="5">
        <f>IFERROR(__xludf.DUMMYFUNCTION("""COMPUTED_VALUE"""),399.0)</f>
        <v>399</v>
      </c>
      <c r="B400" s="6" t="str">
        <f>IFERROR(__xludf.DUMMYFUNCTION("""COMPUTED_VALUE"""),"FAKTOR-FAKTOR YANG MEMPENGARUHI KINERJA KEUANGAN (Studi pada Perusahaan Perbankan di BEI)")</f>
        <v>FAKTOR-FAKTOR YANG MEMPENGARUHI KINERJA KEUANGAN (Studi pada Perusahaan Perbankan di BEI)</v>
      </c>
      <c r="C400" s="7">
        <f>IFERROR(__xludf.DUMMYFUNCTION("""COMPUTED_VALUE"""),2022.0)</f>
        <v>2022</v>
      </c>
      <c r="D400" s="8" t="str">
        <f>IFERROR(__xludf.DUMMYFUNCTION("""COMPUTED_VALUE"""),"2021/2022")</f>
        <v>2021/2022</v>
      </c>
      <c r="E400" s="9">
        <f>IFERROR(__xludf.DUMMYFUNCTION("""COMPUTED_VALUE"""),44706.0)</f>
        <v>44706</v>
      </c>
      <c r="F400" s="5" t="str">
        <f>IFERROR(__xludf.DUMMYFUNCTION("""COMPUTED_VALUE"""),"Genap")</f>
        <v>Genap</v>
      </c>
      <c r="G400" s="5" t="str">
        <f>IFERROR(__xludf.DUMMYFUNCTION("""COMPUTED_VALUE"""),"Akuntansi")</f>
        <v>Akuntansi</v>
      </c>
      <c r="H400" s="10" t="str">
        <f>IFERROR(__xludf.DUMMYFUNCTION("""COMPUTED_VALUE"""),"Mahasiswa")</f>
        <v>Mahasiswa</v>
      </c>
      <c r="I400" s="6" t="str">
        <f>IFERROR(__xludf.DUMMYFUNCTION("""COMPUTED_VALUE"""),"Wulan Purnama Sari")</f>
        <v>Wulan Purnama Sari</v>
      </c>
      <c r="J400" s="6" t="str">
        <f>IFERROR(__xludf.DUMMYFUNCTION("""COMPUTED_VALUE"""),"Rosita")</f>
        <v>Rosita</v>
      </c>
      <c r="K400" s="6"/>
      <c r="L400" s="6"/>
      <c r="M400" s="6"/>
      <c r="N400" s="6"/>
      <c r="O400" s="6"/>
      <c r="P400" s="10" t="str">
        <f>IFERROR(__xludf.DUMMYFUNCTION("""COMPUTED_VALUE"""),"Wulan Purnama Sari,Rosita,,")</f>
        <v>Wulan Purnama Sari,Rosita,,</v>
      </c>
      <c r="Q400" s="11" t="str">
        <f>IFERROR(__xludf.DUMMYFUNCTION("""COMPUTED_VALUE"""),"https://bajangjournal.com/index.php/JEMBA/article/view/2203")</f>
        <v>https://bajangjournal.com/index.php/JEMBA/article/view/2203</v>
      </c>
      <c r="R400" s="6"/>
    </row>
    <row r="401">
      <c r="A401" s="5">
        <f>IFERROR(__xludf.DUMMYFUNCTION("""COMPUTED_VALUE"""),400.0)</f>
        <v>400</v>
      </c>
      <c r="B401" s="6" t="str">
        <f>IFERROR(__xludf.DUMMYFUNCTION("""COMPUTED_VALUE"""),"Pengaruh Fasilitas, Harga Dan Cita Rasa Terhadap Kepuasan Konsumen Mie Gacoan Di Solo Raya")</f>
        <v>Pengaruh Fasilitas, Harga Dan Cita Rasa Terhadap Kepuasan Konsumen Mie Gacoan Di Solo Raya</v>
      </c>
      <c r="C401" s="7">
        <f>IFERROR(__xludf.DUMMYFUNCTION("""COMPUTED_VALUE"""),2022.0)</f>
        <v>2022</v>
      </c>
      <c r="D401" s="8" t="str">
        <f>IFERROR(__xludf.DUMMYFUNCTION("""COMPUTED_VALUE"""),"2021/2022")</f>
        <v>2021/2022</v>
      </c>
      <c r="E401" s="9">
        <f>IFERROR(__xludf.DUMMYFUNCTION("""COMPUTED_VALUE"""),44707.0)</f>
        <v>44707</v>
      </c>
      <c r="F401" s="5" t="str">
        <f>IFERROR(__xludf.DUMMYFUNCTION("""COMPUTED_VALUE"""),"Genap")</f>
        <v>Genap</v>
      </c>
      <c r="G401" s="5" t="str">
        <f>IFERROR(__xludf.DUMMYFUNCTION("""COMPUTED_VALUE"""),"Manajemen")</f>
        <v>Manajemen</v>
      </c>
      <c r="H401" s="10" t="str">
        <f>IFERROR(__xludf.DUMMYFUNCTION("""COMPUTED_VALUE"""),"Mahasiswa")</f>
        <v>Mahasiswa</v>
      </c>
      <c r="I401" s="6" t="str">
        <f>IFERROR(__xludf.DUMMYFUNCTION("""COMPUTED_VALUE"""),"Galih Ayu Prasasti")</f>
        <v>Galih Ayu Prasasti</v>
      </c>
      <c r="J401" s="6" t="str">
        <f>IFERROR(__xludf.DUMMYFUNCTION("""COMPUTED_VALUE"""),"Putri Maisara")</f>
        <v>Putri Maisara</v>
      </c>
      <c r="K401" s="6"/>
      <c r="L401" s="6"/>
      <c r="M401" s="6"/>
      <c r="N401" s="6"/>
      <c r="O401" s="6"/>
      <c r="P401" s="10" t="str">
        <f>IFERROR(__xludf.DUMMYFUNCTION("""COMPUTED_VALUE"""),"Galih Ayu Prasasti,Putri Maisara,,")</f>
        <v>Galih Ayu Prasasti,Putri Maisara,,</v>
      </c>
      <c r="Q401" s="11" t="str">
        <f>IFERROR(__xludf.DUMMYFUNCTION("""COMPUTED_VALUE"""),"https://stia-binataruna.e-journal.id/PUBLIK/article/view/327")</f>
        <v>https://stia-binataruna.e-journal.id/PUBLIK/article/view/327</v>
      </c>
      <c r="R401" s="6"/>
    </row>
    <row r="402">
      <c r="A402" s="5">
        <f>IFERROR(__xludf.DUMMYFUNCTION("""COMPUTED_VALUE"""),401.0)</f>
        <v>401</v>
      </c>
      <c r="B402" s="6" t="str">
        <f>IFERROR(__xludf.DUMMYFUNCTION("""COMPUTED_VALUE"""),"PERILAKU PENGGUNAN TIKTOK SEBAGAI MEDIA PROMOSI PEMBISNIS")</f>
        <v>PERILAKU PENGGUNAN TIKTOK SEBAGAI MEDIA PROMOSI PEMBISNIS</v>
      </c>
      <c r="C402" s="7">
        <f>IFERROR(__xludf.DUMMYFUNCTION("""COMPUTED_VALUE"""),2022.0)</f>
        <v>2022</v>
      </c>
      <c r="D402" s="8" t="str">
        <f>IFERROR(__xludf.DUMMYFUNCTION("""COMPUTED_VALUE"""),"2021/2022")</f>
        <v>2021/2022</v>
      </c>
      <c r="E402" s="9">
        <f>IFERROR(__xludf.DUMMYFUNCTION("""COMPUTED_VALUE"""),44711.0)</f>
        <v>44711</v>
      </c>
      <c r="F402" s="5" t="str">
        <f>IFERROR(__xludf.DUMMYFUNCTION("""COMPUTED_VALUE"""),"Genap")</f>
        <v>Genap</v>
      </c>
      <c r="G402" s="5" t="str">
        <f>IFERROR(__xludf.DUMMYFUNCTION("""COMPUTED_VALUE"""),"Manajemen")</f>
        <v>Manajemen</v>
      </c>
      <c r="H402" s="10" t="str">
        <f>IFERROR(__xludf.DUMMYFUNCTION("""COMPUTED_VALUE"""),"Mahasiswa")</f>
        <v>Mahasiswa</v>
      </c>
      <c r="I402" s="6" t="str">
        <f>IFERROR(__xludf.DUMMYFUNCTION("""COMPUTED_VALUE"""),"Linda Saffira")</f>
        <v>Linda Saffira</v>
      </c>
      <c r="J402" s="6" t="str">
        <f>IFERROR(__xludf.DUMMYFUNCTION("""COMPUTED_VALUE"""),"Ginanjar Rahmawan")</f>
        <v>Ginanjar Rahmawan</v>
      </c>
      <c r="K402" s="6"/>
      <c r="L402" s="6"/>
      <c r="M402" s="6"/>
      <c r="N402" s="6"/>
      <c r="O402" s="6"/>
      <c r="P402" s="10" t="str">
        <f>IFERROR(__xludf.DUMMYFUNCTION("""COMPUTED_VALUE"""),"Linda Saffira,Ginanjar Rahmawan,,")</f>
        <v>Linda Saffira,Ginanjar Rahmawan,,</v>
      </c>
      <c r="Q402" s="11" t="str">
        <f>IFERROR(__xludf.DUMMYFUNCTION("""COMPUTED_VALUE"""),"https://ejurnal.seminar-id.com/index.php/ekuitas/article/view/1451")</f>
        <v>https://ejurnal.seminar-id.com/index.php/ekuitas/article/view/1451</v>
      </c>
      <c r="R402" s="6"/>
    </row>
    <row r="403">
      <c r="A403" s="5">
        <f>IFERROR(__xludf.DUMMYFUNCTION("""COMPUTED_VALUE"""),402.0)</f>
        <v>402</v>
      </c>
      <c r="B403" s="6" t="str">
        <f>IFERROR(__xludf.DUMMYFUNCTION("""COMPUTED_VALUE"""),"Perilaku Penggunaan Tik Tok sebagai Media Promosi Pebisnis")</f>
        <v>Perilaku Penggunaan Tik Tok sebagai Media Promosi Pebisnis</v>
      </c>
      <c r="C403" s="7">
        <f>IFERROR(__xludf.DUMMYFUNCTION("""COMPUTED_VALUE"""),2022.0)</f>
        <v>2022</v>
      </c>
      <c r="D403" s="8" t="str">
        <f>IFERROR(__xludf.DUMMYFUNCTION("""COMPUTED_VALUE"""),"2021/2022")</f>
        <v>2021/2022</v>
      </c>
      <c r="E403" s="9">
        <f>IFERROR(__xludf.DUMMYFUNCTION("""COMPUTED_VALUE"""),44711.0)</f>
        <v>44711</v>
      </c>
      <c r="F403" s="5" t="str">
        <f>IFERROR(__xludf.DUMMYFUNCTION("""COMPUTED_VALUE"""),"Genap")</f>
        <v>Genap</v>
      </c>
      <c r="G403" s="5" t="str">
        <f>IFERROR(__xludf.DUMMYFUNCTION("""COMPUTED_VALUE"""),"Manajemen")</f>
        <v>Manajemen</v>
      </c>
      <c r="H403" s="10" t="str">
        <f>IFERROR(__xludf.DUMMYFUNCTION("""COMPUTED_VALUE"""),"Mahasiswa")</f>
        <v>Mahasiswa</v>
      </c>
      <c r="I403" s="6" t="str">
        <f>IFERROR(__xludf.DUMMYFUNCTION("""COMPUTED_VALUE"""),"Linda Saffira")</f>
        <v>Linda Saffira</v>
      </c>
      <c r="J403" s="6" t="str">
        <f>IFERROR(__xludf.DUMMYFUNCTION("""COMPUTED_VALUE"""),"Ginanjar Rahmawan")</f>
        <v>Ginanjar Rahmawan</v>
      </c>
      <c r="K403" s="6"/>
      <c r="L403" s="6"/>
      <c r="M403" s="6"/>
      <c r="N403" s="6"/>
      <c r="O403" s="6"/>
      <c r="P403" s="10" t="str">
        <f>IFERROR(__xludf.DUMMYFUNCTION("""COMPUTED_VALUE"""),"Linda Saffira,Ginanjar Rahmawan,,")</f>
        <v>Linda Saffira,Ginanjar Rahmawan,,</v>
      </c>
      <c r="Q403" s="11" t="str">
        <f>IFERROR(__xludf.DUMMYFUNCTION("""COMPUTED_VALUE"""),"https://ejurnal.seminar-id.com/index.php/ekuitas/article/view/1451")</f>
        <v>https://ejurnal.seminar-id.com/index.php/ekuitas/article/view/1451</v>
      </c>
      <c r="R403" s="6"/>
    </row>
    <row r="404">
      <c r="A404" s="5">
        <f>IFERROR(__xludf.DUMMYFUNCTION("""COMPUTED_VALUE"""),403.0)</f>
        <v>403</v>
      </c>
      <c r="B404" s="6" t="str">
        <f>IFERROR(__xludf.DUMMYFUNCTION("""COMPUTED_VALUE"""),"Pengaruh Kompensasi, Karakteristik Pekerjaan, Tanggung Jawab Sosial Perusahaan Dan Reputasi Perusahaan Terhadap Minat Melamar Pekerjaan")</f>
        <v>Pengaruh Kompensasi, Karakteristik Pekerjaan, Tanggung Jawab Sosial Perusahaan Dan Reputasi Perusahaan Terhadap Minat Melamar Pekerjaan</v>
      </c>
      <c r="C404" s="7">
        <f>IFERROR(__xludf.DUMMYFUNCTION("""COMPUTED_VALUE"""),2022.0)</f>
        <v>2022</v>
      </c>
      <c r="D404" s="8" t="str">
        <f>IFERROR(__xludf.DUMMYFUNCTION("""COMPUTED_VALUE"""),"2021/2022")</f>
        <v>2021/2022</v>
      </c>
      <c r="E404" s="9">
        <f>IFERROR(__xludf.DUMMYFUNCTION("""COMPUTED_VALUE"""),44711.0)</f>
        <v>44711</v>
      </c>
      <c r="F404" s="5" t="str">
        <f>IFERROR(__xludf.DUMMYFUNCTION("""COMPUTED_VALUE"""),"Genap")</f>
        <v>Genap</v>
      </c>
      <c r="G404" s="5" t="str">
        <f>IFERROR(__xludf.DUMMYFUNCTION("""COMPUTED_VALUE"""),"Manajemen")</f>
        <v>Manajemen</v>
      </c>
      <c r="H404" s="10" t="str">
        <f>IFERROR(__xludf.DUMMYFUNCTION("""COMPUTED_VALUE"""),"Mahasiswa")</f>
        <v>Mahasiswa</v>
      </c>
      <c r="I404" s="6" t="str">
        <f>IFERROR(__xludf.DUMMYFUNCTION("""COMPUTED_VALUE"""),"Dewi Indah Febrianti")</f>
        <v>Dewi Indah Febrianti</v>
      </c>
      <c r="J404" s="6" t="str">
        <f>IFERROR(__xludf.DUMMYFUNCTION("""COMPUTED_VALUE"""),"Christiawan Hendratmoko")</f>
        <v>Christiawan Hendratmoko</v>
      </c>
      <c r="K404" s="6"/>
      <c r="L404" s="6"/>
      <c r="M404" s="6"/>
      <c r="N404" s="6"/>
      <c r="O404" s="6"/>
      <c r="P404" s="10" t="str">
        <f>IFERROR(__xludf.DUMMYFUNCTION("""COMPUTED_VALUE"""),"Dewi Indah Febrianti,Christiawan Hendratmoko,,")</f>
        <v>Dewi Indah Febrianti,Christiawan Hendratmoko,,</v>
      </c>
      <c r="Q404" s="11" t="str">
        <f>IFERROR(__xludf.DUMMYFUNCTION("""COMPUTED_VALUE"""),"https://garuda.kemdikbud.go.id/documents/detail/3158571")</f>
        <v>https://garuda.kemdikbud.go.id/documents/detail/3158571</v>
      </c>
      <c r="R404" s="6"/>
    </row>
    <row r="405">
      <c r="A405" s="5">
        <f>IFERROR(__xludf.DUMMYFUNCTION("""COMPUTED_VALUE"""),404.0)</f>
        <v>404</v>
      </c>
      <c r="B405" s="6" t="str">
        <f>IFERROR(__xludf.DUMMYFUNCTION("""COMPUTED_VALUE"""),"Pengaruh Kualtas Produk, Harga, Dan Kualitas Pelayanan Terhadap Kepuasan Konsumen Pada Klinik Kecantikan Ella Skin Care")</f>
        <v>Pengaruh Kualtas Produk, Harga, Dan Kualitas Pelayanan Terhadap Kepuasan Konsumen Pada Klinik Kecantikan Ella Skin Care</v>
      </c>
      <c r="C405" s="7">
        <f>IFERROR(__xludf.DUMMYFUNCTION("""COMPUTED_VALUE"""),2022.0)</f>
        <v>2022</v>
      </c>
      <c r="D405" s="8" t="str">
        <f>IFERROR(__xludf.DUMMYFUNCTION("""COMPUTED_VALUE"""),"2021/2022")</f>
        <v>2021/2022</v>
      </c>
      <c r="E405" s="9">
        <f>IFERROR(__xludf.DUMMYFUNCTION("""COMPUTED_VALUE"""),44718.0)</f>
        <v>44718</v>
      </c>
      <c r="F405" s="5" t="str">
        <f>IFERROR(__xludf.DUMMYFUNCTION("""COMPUTED_VALUE"""),"Genap")</f>
        <v>Genap</v>
      </c>
      <c r="G405" s="5" t="str">
        <f>IFERROR(__xludf.DUMMYFUNCTION("""COMPUTED_VALUE"""),"Manajemen")</f>
        <v>Manajemen</v>
      </c>
      <c r="H405" s="10" t="str">
        <f>IFERROR(__xludf.DUMMYFUNCTION("""COMPUTED_VALUE"""),"Mahasiswa")</f>
        <v>Mahasiswa</v>
      </c>
      <c r="I405" s="6" t="str">
        <f>IFERROR(__xludf.DUMMYFUNCTION("""COMPUTED_VALUE"""),"Hartatik ")</f>
        <v>Hartatik </v>
      </c>
      <c r="J405" s="6" t="str">
        <f>IFERROR(__xludf.DUMMYFUNCTION("""COMPUTED_VALUE"""),"Ari Susanti")</f>
        <v>Ari Susanti</v>
      </c>
      <c r="K405" s="6"/>
      <c r="L405" s="6"/>
      <c r="M405" s="6"/>
      <c r="N405" s="6"/>
      <c r="O405" s="6"/>
      <c r="P405" s="10" t="str">
        <f>IFERROR(__xludf.DUMMYFUNCTION("""COMPUTED_VALUE"""),"Hartatik ,Ari Susanti,,")</f>
        <v>Hartatik ,Ari Susanti,,</v>
      </c>
      <c r="Q405" s="11" t="str">
        <f>IFERROR(__xludf.DUMMYFUNCTION("""COMPUTED_VALUE"""),"https://journal.uyr.ac.id/index.php/JAB/article/view/44-56")</f>
        <v>https://journal.uyr.ac.id/index.php/JAB/article/view/44-56</v>
      </c>
      <c r="R405" s="6"/>
    </row>
    <row r="406">
      <c r="A406" s="5">
        <f>IFERROR(__xludf.DUMMYFUNCTION("""COMPUTED_VALUE"""),405.0)</f>
        <v>405</v>
      </c>
      <c r="B406" s="6" t="str">
        <f>IFERROR(__xludf.DUMMYFUNCTION("""COMPUTED_VALUE"""),"Factors That Affect The Performance Of Employees Of Pt Telkom Indonesia Witel Solo")</f>
        <v>Factors That Affect The Performance Of Employees Of Pt Telkom Indonesia Witel Solo</v>
      </c>
      <c r="C406" s="7">
        <f>IFERROR(__xludf.DUMMYFUNCTION("""COMPUTED_VALUE"""),2022.0)</f>
        <v>2022</v>
      </c>
      <c r="D406" s="8" t="str">
        <f>IFERROR(__xludf.DUMMYFUNCTION("""COMPUTED_VALUE"""),"2021/2022")</f>
        <v>2021/2022</v>
      </c>
      <c r="E406" s="9">
        <f>IFERROR(__xludf.DUMMYFUNCTION("""COMPUTED_VALUE"""),44721.0)</f>
        <v>44721</v>
      </c>
      <c r="F406" s="5" t="str">
        <f>IFERROR(__xludf.DUMMYFUNCTION("""COMPUTED_VALUE"""),"Genap")</f>
        <v>Genap</v>
      </c>
      <c r="G406" s="5" t="str">
        <f>IFERROR(__xludf.DUMMYFUNCTION("""COMPUTED_VALUE"""),"Akuntansi")</f>
        <v>Akuntansi</v>
      </c>
      <c r="H406" s="10" t="str">
        <f>IFERROR(__xludf.DUMMYFUNCTION("""COMPUTED_VALUE"""),"Mahasiswa")</f>
        <v>Mahasiswa</v>
      </c>
      <c r="I406" s="6" t="str">
        <f>IFERROR(__xludf.DUMMYFUNCTION("""COMPUTED_VALUE"""),"Aurora Noel Saputri")</f>
        <v>Aurora Noel Saputri</v>
      </c>
      <c r="J406" s="6" t="str">
        <f>IFERROR(__xludf.DUMMYFUNCTION("""COMPUTED_VALUE"""),"Arif Nugroho Rachman")</f>
        <v>Arif Nugroho Rachman</v>
      </c>
      <c r="K406" s="6"/>
      <c r="L406" s="6"/>
      <c r="M406" s="6"/>
      <c r="N406" s="6"/>
      <c r="O406" s="6"/>
      <c r="P406" s="10" t="str">
        <f>IFERROR(__xludf.DUMMYFUNCTION("""COMPUTED_VALUE"""),"Aurora Noel Saputri,Arif Nugroho Rachman,,")</f>
        <v>Aurora Noel Saputri,Arif Nugroho Rachman,,</v>
      </c>
      <c r="Q406" s="11" t="str">
        <f>IFERROR(__xludf.DUMMYFUNCTION("""COMPUTED_VALUE"""),"https://journal.stekom.ac.id/index.php/Bisnis/article/view/603")</f>
        <v>https://journal.stekom.ac.id/index.php/Bisnis/article/view/603</v>
      </c>
      <c r="R406" s="6"/>
    </row>
    <row r="407">
      <c r="A407" s="5">
        <f>IFERROR(__xludf.DUMMYFUNCTION("""COMPUTED_VALUE"""),406.0)</f>
        <v>406</v>
      </c>
      <c r="B407" s="6" t="str">
        <f>IFERROR(__xludf.DUMMYFUNCTION("""COMPUTED_VALUE"""),"Penguatan Tata Kelola Bumdes “Bodronoyo” Menuju Profesionalisme Usaha")</f>
        <v>Penguatan Tata Kelola Bumdes “Bodronoyo” Menuju Profesionalisme Usaha</v>
      </c>
      <c r="C407" s="7">
        <f>IFERROR(__xludf.DUMMYFUNCTION("""COMPUTED_VALUE"""),2022.0)</f>
        <v>2022</v>
      </c>
      <c r="D407" s="8" t="str">
        <f>IFERROR(__xludf.DUMMYFUNCTION("""COMPUTED_VALUE"""),"2021/2022")</f>
        <v>2021/2022</v>
      </c>
      <c r="E407" s="9">
        <f>IFERROR(__xludf.DUMMYFUNCTION("""COMPUTED_VALUE"""),44724.0)</f>
        <v>44724</v>
      </c>
      <c r="F407" s="5" t="str">
        <f>IFERROR(__xludf.DUMMYFUNCTION("""COMPUTED_VALUE"""),"Genap")</f>
        <v>Genap</v>
      </c>
      <c r="G407" s="5" t="str">
        <f>IFERROR(__xludf.DUMMYFUNCTION("""COMPUTED_VALUE"""),"Manajemen")</f>
        <v>Manajemen</v>
      </c>
      <c r="H407" s="10" t="str">
        <f>IFERROR(__xludf.DUMMYFUNCTION("""COMPUTED_VALUE"""),"Dosen")</f>
        <v>Dosen</v>
      </c>
      <c r="I407" s="6" t="str">
        <f>IFERROR(__xludf.DUMMYFUNCTION("""COMPUTED_VALUE"""),"Muhammad Jalari")</f>
        <v>Muhammad Jalari</v>
      </c>
      <c r="J407" s="6" t="str">
        <f>IFERROR(__xludf.DUMMYFUNCTION("""COMPUTED_VALUE"""),"Christiawan Hendratmoko")</f>
        <v>Christiawan Hendratmoko</v>
      </c>
      <c r="K407" s="6" t="str">
        <f>IFERROR(__xludf.DUMMYFUNCTION("""COMPUTED_VALUE"""),"Andri Nurtantiono")</f>
        <v>Andri Nurtantiono</v>
      </c>
      <c r="L407" s="6"/>
      <c r="M407" s="6"/>
      <c r="N407" s="6"/>
      <c r="O407" s="6"/>
      <c r="P407" s="10" t="str">
        <f>IFERROR(__xludf.DUMMYFUNCTION("""COMPUTED_VALUE"""),"Muhammad Jalari,Christiawan Hendratmoko,Andri Nurtantiono,")</f>
        <v>Muhammad Jalari,Christiawan Hendratmoko,Andri Nurtantiono,</v>
      </c>
      <c r="Q407" s="11" t="str">
        <f>IFERROR(__xludf.DUMMYFUNCTION("""COMPUTED_VALUE"""),"https://jurnal.stietrisnanegara.ac.id/index.php/PENAMAS/article/view/149")</f>
        <v>https://jurnal.stietrisnanegara.ac.id/index.php/PENAMAS/article/view/149</v>
      </c>
      <c r="R407" s="6"/>
    </row>
    <row r="408">
      <c r="A408" s="5">
        <f>IFERROR(__xludf.DUMMYFUNCTION("""COMPUTED_VALUE"""),407.0)</f>
        <v>407</v>
      </c>
      <c r="B408" s="6" t="str">
        <f>IFERROR(__xludf.DUMMYFUNCTION("""COMPUTED_VALUE"""),"Do environmental costs and environmental information disclosure effect on environmental performance?")</f>
        <v>Do environmental costs and environmental information disclosure effect on environmental performance?</v>
      </c>
      <c r="C408" s="7">
        <f>IFERROR(__xludf.DUMMYFUNCTION("""COMPUTED_VALUE"""),2022.0)</f>
        <v>2022</v>
      </c>
      <c r="D408" s="8" t="str">
        <f>IFERROR(__xludf.DUMMYFUNCTION("""COMPUTED_VALUE"""),"2021/2022")</f>
        <v>2021/2022</v>
      </c>
      <c r="E408" s="9">
        <f>IFERROR(__xludf.DUMMYFUNCTION("""COMPUTED_VALUE"""),44724.0)</f>
        <v>44724</v>
      </c>
      <c r="F408" s="5" t="str">
        <f>IFERROR(__xludf.DUMMYFUNCTION("""COMPUTED_VALUE"""),"Genap")</f>
        <v>Genap</v>
      </c>
      <c r="G408" s="5" t="str">
        <f>IFERROR(__xludf.DUMMYFUNCTION("""COMPUTED_VALUE"""),"Akuntansi")</f>
        <v>Akuntansi</v>
      </c>
      <c r="H408" s="10" t="str">
        <f>IFERROR(__xludf.DUMMYFUNCTION("""COMPUTED_VALUE"""),"Mahasiswa")</f>
        <v>Mahasiswa</v>
      </c>
      <c r="I408" s="6" t="str">
        <f>IFERROR(__xludf.DUMMYFUNCTION("""COMPUTED_VALUE"""),"Rahandhika Ivan Adyaksana")</f>
        <v>Rahandhika Ivan Adyaksana</v>
      </c>
      <c r="J408" s="6" t="str">
        <f>IFERROR(__xludf.DUMMYFUNCTION("""COMPUTED_VALUE"""),"Era Trianita Saputra")</f>
        <v>Era Trianita Saputra</v>
      </c>
      <c r="K408" s="6" t="str">
        <f>IFERROR(__xludf.DUMMYFUNCTION("""COMPUTED_VALUE"""),"Anandita Zulia Putri")</f>
        <v>Anandita Zulia Putri</v>
      </c>
      <c r="L408" s="6"/>
      <c r="M408" s="6"/>
      <c r="N408" s="6"/>
      <c r="O408" s="6"/>
      <c r="P408" s="10" t="str">
        <f>IFERROR(__xludf.DUMMYFUNCTION("""COMPUTED_VALUE"""),"Rahandhika Ivan Adyaksana,Era Trianita Saputra,Anandita Zulia Putri,")</f>
        <v>Rahandhika Ivan Adyaksana,Era Trianita Saputra,Anandita Zulia Putri,</v>
      </c>
      <c r="Q408" s="11" t="str">
        <f>IFERROR(__xludf.DUMMYFUNCTION("""COMPUTED_VALUE"""),"https://thejbis.upy.ac.id/index.php/jbis/article/view/115")</f>
        <v>https://thejbis.upy.ac.id/index.php/jbis/article/view/115</v>
      </c>
      <c r="R408" s="6"/>
    </row>
    <row r="409">
      <c r="A409" s="5">
        <f>IFERROR(__xludf.DUMMYFUNCTION("""COMPUTED_VALUE"""),408.0)</f>
        <v>408</v>
      </c>
      <c r="B409" s="6" t="str">
        <f>IFERROR(__xludf.DUMMYFUNCTION("""COMPUTED_VALUE"""),"Entrepreneurial Knowledge, Entrepreneurial Characteristics To The Success Of Small And Medium Enterprisesguitar Industry Center In Kembangan Village, Baki, Sukoharjo")</f>
        <v>Entrepreneurial Knowledge, Entrepreneurial Characteristics To The Success Of Small And Medium Enterprisesguitar Industry Center In Kembangan Village, Baki, Sukoharjo</v>
      </c>
      <c r="C409" s="7">
        <f>IFERROR(__xludf.DUMMYFUNCTION("""COMPUTED_VALUE"""),2022.0)</f>
        <v>2022</v>
      </c>
      <c r="D409" s="8" t="str">
        <f>IFERROR(__xludf.DUMMYFUNCTION("""COMPUTED_VALUE"""),"2021/2022")</f>
        <v>2021/2022</v>
      </c>
      <c r="E409" s="9">
        <f>IFERROR(__xludf.DUMMYFUNCTION("""COMPUTED_VALUE"""),44726.0)</f>
        <v>44726</v>
      </c>
      <c r="F409" s="5" t="str">
        <f>IFERROR(__xludf.DUMMYFUNCTION("""COMPUTED_VALUE"""),"Genap")</f>
        <v>Genap</v>
      </c>
      <c r="G409" s="5" t="str">
        <f>IFERROR(__xludf.DUMMYFUNCTION("""COMPUTED_VALUE"""),"")</f>
        <v/>
      </c>
      <c r="H409" s="10" t="str">
        <f>IFERROR(__xludf.DUMMYFUNCTION("""COMPUTED_VALUE"""),"Mahasiswa")</f>
        <v>Mahasiswa</v>
      </c>
      <c r="I409" s="6" t="str">
        <f>IFERROR(__xludf.DUMMYFUNCTION("""COMPUTED_VALUE"""),"Sakidi")</f>
        <v>Sakidi</v>
      </c>
      <c r="J409" s="6" t="str">
        <f>IFERROR(__xludf.DUMMYFUNCTION("""COMPUTED_VALUE"""),"Istiatin")</f>
        <v>Istiatin</v>
      </c>
      <c r="K409" s="6" t="str">
        <f>IFERROR(__xludf.DUMMYFUNCTION("""COMPUTED_VALUE"""),"Legowo Dwi Resihono")</f>
        <v>Legowo Dwi Resihono</v>
      </c>
      <c r="L409" s="6" t="str">
        <f>IFERROR(__xludf.DUMMYFUNCTION("""COMPUTED_VALUE"""),"Ari Susanti")</f>
        <v>Ari Susanti</v>
      </c>
      <c r="M409" s="6"/>
      <c r="N409" s="6"/>
      <c r="O409" s="6"/>
      <c r="P409" s="10" t="str">
        <f>IFERROR(__xludf.DUMMYFUNCTION("""COMPUTED_VALUE"""),"Sakidi,Istiatin,Legowo Dwi Resihono,Ari Susanti")</f>
        <v>Sakidi,Istiatin,Legowo Dwi Resihono,Ari Susanti</v>
      </c>
      <c r="Q409" s="11" t="str">
        <f>IFERROR(__xludf.DUMMYFUNCTION("""COMPUTED_VALUE"""),"https://jurnal.stie-aas.ac.id/index.php/IJEBAR/article/view/5467")</f>
        <v>https://jurnal.stie-aas.ac.id/index.php/IJEBAR/article/view/5467</v>
      </c>
      <c r="R409" s="6"/>
    </row>
    <row r="410">
      <c r="A410" s="5">
        <f>IFERROR(__xludf.DUMMYFUNCTION("""COMPUTED_VALUE"""),409.0)</f>
        <v>409</v>
      </c>
      <c r="B410" s="6" t="str">
        <f>IFERROR(__xludf.DUMMYFUNCTION("""COMPUTED_VALUE"""),"E-Service Quality and Brand Image In Forming Customer Satisfaction (Reddoorz Case Study)")</f>
        <v>E-Service Quality and Brand Image In Forming Customer Satisfaction (Reddoorz Case Study)</v>
      </c>
      <c r="C410" s="7">
        <f>IFERROR(__xludf.DUMMYFUNCTION("""COMPUTED_VALUE"""),2022.0)</f>
        <v>2022</v>
      </c>
      <c r="D410" s="8" t="str">
        <f>IFERROR(__xludf.DUMMYFUNCTION("""COMPUTED_VALUE"""),"2021/2022")</f>
        <v>2021/2022</v>
      </c>
      <c r="E410" s="9">
        <f>IFERROR(__xludf.DUMMYFUNCTION("""COMPUTED_VALUE"""),44727.0)</f>
        <v>44727</v>
      </c>
      <c r="F410" s="5" t="str">
        <f>IFERROR(__xludf.DUMMYFUNCTION("""COMPUTED_VALUE"""),"Genap")</f>
        <v>Genap</v>
      </c>
      <c r="G410" s="5" t="str">
        <f>IFERROR(__xludf.DUMMYFUNCTION("""COMPUTED_VALUE"""),"Manajemen")</f>
        <v>Manajemen</v>
      </c>
      <c r="H410" s="10" t="str">
        <f>IFERROR(__xludf.DUMMYFUNCTION("""COMPUTED_VALUE"""),"Mahasiswa")</f>
        <v>Mahasiswa</v>
      </c>
      <c r="I410" s="6" t="str">
        <f>IFERROR(__xludf.DUMMYFUNCTION("""COMPUTED_VALUE"""),"Arinda Septianisa Wulandari")</f>
        <v>Arinda Septianisa Wulandari</v>
      </c>
      <c r="J410" s="6" t="str">
        <f>IFERROR(__xludf.DUMMYFUNCTION("""COMPUTED_VALUE"""),"Budi Istiyanto")</f>
        <v>Budi Istiyanto</v>
      </c>
      <c r="K410" s="6"/>
      <c r="L410" s="6"/>
      <c r="M410" s="6"/>
      <c r="N410" s="6"/>
      <c r="O410" s="6"/>
      <c r="P410" s="10" t="str">
        <f>IFERROR(__xludf.DUMMYFUNCTION("""COMPUTED_VALUE"""),"Arinda Septianisa Wulandari,Budi Istiyanto,,")</f>
        <v>Arinda Septianisa Wulandari,Budi Istiyanto,,</v>
      </c>
      <c r="Q410" s="11" t="str">
        <f>IFERROR(__xludf.DUMMYFUNCTION("""COMPUTED_VALUE"""),"https://jurnalfe.ustjogja.ac.id/index.php/ekobis/article/view/2957")</f>
        <v>https://jurnalfe.ustjogja.ac.id/index.php/ekobis/article/view/2957</v>
      </c>
      <c r="R410" s="6"/>
    </row>
    <row r="411">
      <c r="A411" s="5">
        <f>IFERROR(__xludf.DUMMYFUNCTION("""COMPUTED_VALUE"""),410.0)</f>
        <v>410</v>
      </c>
      <c r="B411" s="6" t="str">
        <f>IFERROR(__xludf.DUMMYFUNCTION("""COMPUTED_VALUE"""),"Pengaruh Perceived Quality, Kredibilitas Influencer, Harga Dan Lokasi Terhadap Keputusan Pembelian Di Kedai Dimsum Ad Sragen")</f>
        <v>Pengaruh Perceived Quality, Kredibilitas Influencer, Harga Dan Lokasi Terhadap Keputusan Pembelian Di Kedai Dimsum Ad Sragen</v>
      </c>
      <c r="C411" s="7">
        <f>IFERROR(__xludf.DUMMYFUNCTION("""COMPUTED_VALUE"""),2022.0)</f>
        <v>2022</v>
      </c>
      <c r="D411" s="8" t="str">
        <f>IFERROR(__xludf.DUMMYFUNCTION("""COMPUTED_VALUE"""),"2021/2022")</f>
        <v>2021/2022</v>
      </c>
      <c r="E411" s="9">
        <f>IFERROR(__xludf.DUMMYFUNCTION("""COMPUTED_VALUE"""),44729.0)</f>
        <v>44729</v>
      </c>
      <c r="F411" s="5" t="str">
        <f>IFERROR(__xludf.DUMMYFUNCTION("""COMPUTED_VALUE"""),"Genap")</f>
        <v>Genap</v>
      </c>
      <c r="G411" s="5" t="str">
        <f>IFERROR(__xludf.DUMMYFUNCTION("""COMPUTED_VALUE"""),"Manajemen")</f>
        <v>Manajemen</v>
      </c>
      <c r="H411" s="10" t="str">
        <f>IFERROR(__xludf.DUMMYFUNCTION("""COMPUTED_VALUE"""),"Mahasiswa")</f>
        <v>Mahasiswa</v>
      </c>
      <c r="I411" s="6" t="str">
        <f>IFERROR(__xludf.DUMMYFUNCTION("""COMPUTED_VALUE"""),"Desy Kurniawati")</f>
        <v>Desy Kurniawati</v>
      </c>
      <c r="J411" s="6" t="str">
        <f>IFERROR(__xludf.DUMMYFUNCTION("""COMPUTED_VALUE"""),"Christiawan Hendratmoko")</f>
        <v>Christiawan Hendratmoko</v>
      </c>
      <c r="K411" s="6"/>
      <c r="L411" s="6"/>
      <c r="M411" s="6"/>
      <c r="N411" s="6"/>
      <c r="O411" s="6"/>
      <c r="P411" s="10" t="str">
        <f>IFERROR(__xludf.DUMMYFUNCTION("""COMPUTED_VALUE"""),"Desy Kurniawati,Christiawan Hendratmoko,,")</f>
        <v>Desy Kurniawati,Christiawan Hendratmoko,,</v>
      </c>
      <c r="Q411" s="11" t="str">
        <f>IFERROR(__xludf.DUMMYFUNCTION("""COMPUTED_VALUE"""),"https://journal.uniku.ac.id/index.php/jeam/article/view/6107")</f>
        <v>https://journal.uniku.ac.id/index.php/jeam/article/view/6107</v>
      </c>
      <c r="R411" s="6"/>
    </row>
    <row r="412">
      <c r="A412" s="5">
        <f>IFERROR(__xludf.DUMMYFUNCTION("""COMPUTED_VALUE"""),411.0)</f>
        <v>411</v>
      </c>
      <c r="B412" s="6" t="str">
        <f>IFERROR(__xludf.DUMMYFUNCTION("""COMPUTED_VALUE"""),"“PROMOSI, HARGA, LOKASI TERHADAP PENJUALAN SEPEDA MOTOR PADA DEALER HONDA PT.NAGAMAS MOTOR KARTASURA DI MASA PANDEMI”")</f>
        <v>“PROMOSI, HARGA, LOKASI TERHADAP PENJUALAN SEPEDA MOTOR PADA DEALER HONDA PT.NAGAMAS MOTOR KARTASURA DI MASA PANDEMI”</v>
      </c>
      <c r="C412" s="7">
        <f>IFERROR(__xludf.DUMMYFUNCTION("""COMPUTED_VALUE"""),2022.0)</f>
        <v>2022</v>
      </c>
      <c r="D412" s="8" t="str">
        <f>IFERROR(__xludf.DUMMYFUNCTION("""COMPUTED_VALUE"""),"2021/2022")</f>
        <v>2021/2022</v>
      </c>
      <c r="E412" s="9">
        <f>IFERROR(__xludf.DUMMYFUNCTION("""COMPUTED_VALUE"""),44732.0)</f>
        <v>44732</v>
      </c>
      <c r="F412" s="5" t="str">
        <f>IFERROR(__xludf.DUMMYFUNCTION("""COMPUTED_VALUE"""),"Genap")</f>
        <v>Genap</v>
      </c>
      <c r="G412" s="5" t="str">
        <f>IFERROR(__xludf.DUMMYFUNCTION("""COMPUTED_VALUE"""),"Manajemen")</f>
        <v>Manajemen</v>
      </c>
      <c r="H412" s="10" t="str">
        <f>IFERROR(__xludf.DUMMYFUNCTION("""COMPUTED_VALUE"""),"Mahasiswa")</f>
        <v>Mahasiswa</v>
      </c>
      <c r="I412" s="6" t="str">
        <f>IFERROR(__xludf.DUMMYFUNCTION("""COMPUTED_VALUE"""),"Yunisma Sulistyaningrum")</f>
        <v>Yunisma Sulistyaningrum</v>
      </c>
      <c r="J412" s="6" t="str">
        <f>IFERROR(__xludf.DUMMYFUNCTION("""COMPUTED_VALUE"""),"Ari Susanti")</f>
        <v>Ari Susanti</v>
      </c>
      <c r="K412" s="6"/>
      <c r="L412" s="6"/>
      <c r="M412" s="6"/>
      <c r="N412" s="6"/>
      <c r="O412" s="6"/>
      <c r="P412" s="10" t="str">
        <f>IFERROR(__xludf.DUMMYFUNCTION("""COMPUTED_VALUE"""),"Yunisma Sulistyaningrum,Ari Susanti,,")</f>
        <v>Yunisma Sulistyaningrum,Ari Susanti,,</v>
      </c>
      <c r="Q412" s="11" t="str">
        <f>IFERROR(__xludf.DUMMYFUNCTION("""COMPUTED_VALUE"""),"https://jurnal.stie-aas.ac.id/index.php/IJEBAR/article/view/4919")</f>
        <v>https://jurnal.stie-aas.ac.id/index.php/IJEBAR/article/view/4919</v>
      </c>
      <c r="R412" s="6"/>
    </row>
    <row r="413">
      <c r="A413" s="5">
        <f>IFERROR(__xludf.DUMMYFUNCTION("""COMPUTED_VALUE"""),412.0)</f>
        <v>412</v>
      </c>
      <c r="B413" s="6" t="str">
        <f>IFERROR(__xludf.DUMMYFUNCTION("""COMPUTED_VALUE"""),"The Effect Of Perceived Organizational Support, Meaning Of Work And Proactive Personality On Employee Creativity (Study On Employees Of Harno Surya Ngemplak Bothi)")</f>
        <v>The Effect Of Perceived Organizational Support, Meaning Of Work And Proactive Personality On Employee Creativity (Study On Employees Of Harno Surya Ngemplak Bothi)</v>
      </c>
      <c r="C413" s="7">
        <f>IFERROR(__xludf.DUMMYFUNCTION("""COMPUTED_VALUE"""),2022.0)</f>
        <v>2022</v>
      </c>
      <c r="D413" s="8" t="str">
        <f>IFERROR(__xludf.DUMMYFUNCTION("""COMPUTED_VALUE"""),"2021/2022")</f>
        <v>2021/2022</v>
      </c>
      <c r="E413" s="9">
        <f>IFERROR(__xludf.DUMMYFUNCTION("""COMPUTED_VALUE"""),44732.0)</f>
        <v>44732</v>
      </c>
      <c r="F413" s="5" t="str">
        <f>IFERROR(__xludf.DUMMYFUNCTION("""COMPUTED_VALUE"""),"Genap")</f>
        <v>Genap</v>
      </c>
      <c r="G413" s="5" t="str">
        <f>IFERROR(__xludf.DUMMYFUNCTION("""COMPUTED_VALUE"""),"Manajemen")</f>
        <v>Manajemen</v>
      </c>
      <c r="H413" s="10" t="str">
        <f>IFERROR(__xludf.DUMMYFUNCTION("""COMPUTED_VALUE"""),"Mahasiswa")</f>
        <v>Mahasiswa</v>
      </c>
      <c r="I413" s="6" t="str">
        <f>IFERROR(__xludf.DUMMYFUNCTION("""COMPUTED_VALUE"""),"Krisminanti Agustina")</f>
        <v>Krisminanti Agustina</v>
      </c>
      <c r="J413" s="6" t="str">
        <f>IFERROR(__xludf.DUMMYFUNCTION("""COMPUTED_VALUE"""),"Putri Maisara")</f>
        <v>Putri Maisara</v>
      </c>
      <c r="K413" s="6"/>
      <c r="L413" s="6"/>
      <c r="M413" s="6"/>
      <c r="N413" s="6"/>
      <c r="O413" s="6"/>
      <c r="P413" s="10" t="str">
        <f>IFERROR(__xludf.DUMMYFUNCTION("""COMPUTED_VALUE"""),"Krisminanti Agustina,Putri Maisara,,")</f>
        <v>Krisminanti Agustina,Putri Maisara,,</v>
      </c>
      <c r="Q413" s="11" t="str">
        <f>IFERROR(__xludf.DUMMYFUNCTION("""COMPUTED_VALUE"""),"https://jurnal.stie-aas.ac.id/index.php/IJEBAR/article/view/4919")</f>
        <v>https://jurnal.stie-aas.ac.id/index.php/IJEBAR/article/view/4919</v>
      </c>
      <c r="R413" s="6"/>
    </row>
    <row r="414">
      <c r="A414" s="5">
        <f>IFERROR(__xludf.DUMMYFUNCTION("""COMPUTED_VALUE"""),413.0)</f>
        <v>413</v>
      </c>
      <c r="B414" s="6" t="str">
        <f>IFERROR(__xludf.DUMMYFUNCTION("""COMPUTED_VALUE"""),"Analisis Tingkat Brand Awareness Masyarakat Sukoharjo
 terhadap Produk Multivitamin Renovit pada PT Konimex")</f>
        <v>Analisis Tingkat Brand Awareness Masyarakat Sukoharjo
 terhadap Produk Multivitamin Renovit pada PT Konimex</v>
      </c>
      <c r="C414" s="7">
        <f>IFERROR(__xludf.DUMMYFUNCTION("""COMPUTED_VALUE"""),2022.0)</f>
        <v>2022</v>
      </c>
      <c r="D414" s="8" t="str">
        <f>IFERROR(__xludf.DUMMYFUNCTION("""COMPUTED_VALUE"""),"2021/2022")</f>
        <v>2021/2022</v>
      </c>
      <c r="E414" s="9">
        <f>IFERROR(__xludf.DUMMYFUNCTION("""COMPUTED_VALUE"""),44733.0)</f>
        <v>44733</v>
      </c>
      <c r="F414" s="5" t="str">
        <f>IFERROR(__xludf.DUMMYFUNCTION("""COMPUTED_VALUE"""),"Genap")</f>
        <v>Genap</v>
      </c>
      <c r="G414" s="5" t="str">
        <f>IFERROR(__xludf.DUMMYFUNCTION("""COMPUTED_VALUE"""),"Manajemen")</f>
        <v>Manajemen</v>
      </c>
      <c r="H414" s="10" t="str">
        <f>IFERROR(__xludf.DUMMYFUNCTION("""COMPUTED_VALUE"""),"Mahasiswa")</f>
        <v>Mahasiswa</v>
      </c>
      <c r="I414" s="6" t="str">
        <f>IFERROR(__xludf.DUMMYFUNCTION("""COMPUTED_VALUE"""),"Yuliana Sinta Saputri")</f>
        <v>Yuliana Sinta Saputri</v>
      </c>
      <c r="J414" s="6" t="str">
        <f>IFERROR(__xludf.DUMMYFUNCTION("""COMPUTED_VALUE"""),"Aditya Liliyan")</f>
        <v>Aditya Liliyan</v>
      </c>
      <c r="K414" s="6"/>
      <c r="L414" s="6"/>
      <c r="M414" s="6"/>
      <c r="N414" s="6"/>
      <c r="O414" s="6"/>
      <c r="P414" s="10" t="str">
        <f>IFERROR(__xludf.DUMMYFUNCTION("""COMPUTED_VALUE"""),"Yuliana Sinta Saputri,Aditya Liliyan,,")</f>
        <v>Yuliana Sinta Saputri,Aditya Liliyan,,</v>
      </c>
      <c r="Q414" s="11" t="str">
        <f>IFERROR(__xludf.DUMMYFUNCTION("""COMPUTED_VALUE"""),"https://jurnal.stiesurakarta.ac.id/index.php/jebdeker/article/view/104")</f>
        <v>https://jurnal.stiesurakarta.ac.id/index.php/jebdeker/article/view/104</v>
      </c>
      <c r="R414" s="6"/>
    </row>
    <row r="415">
      <c r="A415" s="5">
        <f>IFERROR(__xludf.DUMMYFUNCTION("""COMPUTED_VALUE"""),414.0)</f>
        <v>414</v>
      </c>
      <c r="B415" s="6" t="str">
        <f>IFERROR(__xludf.DUMMYFUNCTION("""COMPUTED_VALUE"""),"Pengaruh lifestyle, kualitas layanan, tempat dan variety seeking terhadap brand sweetching babershop san")</f>
        <v>Pengaruh lifestyle, kualitas layanan, tempat dan variety seeking terhadap brand sweetching babershop san</v>
      </c>
      <c r="C415" s="7">
        <f>IFERROR(__xludf.DUMMYFUNCTION("""COMPUTED_VALUE"""),2022.0)</f>
        <v>2022</v>
      </c>
      <c r="D415" s="8" t="str">
        <f>IFERROR(__xludf.DUMMYFUNCTION("""COMPUTED_VALUE"""),"2021/2022")</f>
        <v>2021/2022</v>
      </c>
      <c r="E415" s="9">
        <f>IFERROR(__xludf.DUMMYFUNCTION("""COMPUTED_VALUE"""),44733.0)</f>
        <v>44733</v>
      </c>
      <c r="F415" s="5" t="str">
        <f>IFERROR(__xludf.DUMMYFUNCTION("""COMPUTED_VALUE"""),"Genap")</f>
        <v>Genap</v>
      </c>
      <c r="G415" s="5" t="str">
        <f>IFERROR(__xludf.DUMMYFUNCTION("""COMPUTED_VALUE"""),"Manajemen")</f>
        <v>Manajemen</v>
      </c>
      <c r="H415" s="10" t="str">
        <f>IFERROR(__xludf.DUMMYFUNCTION("""COMPUTED_VALUE"""),"Mahasiswa")</f>
        <v>Mahasiswa</v>
      </c>
      <c r="I415" s="6" t="str">
        <f>IFERROR(__xludf.DUMMYFUNCTION("""COMPUTED_VALUE"""),"Mustafa yayan Febriansyach")</f>
        <v>Mustafa yayan Febriansyach</v>
      </c>
      <c r="J415" s="6" t="str">
        <f>IFERROR(__xludf.DUMMYFUNCTION("""COMPUTED_VALUE"""),"Ida Ayu Kade")</f>
        <v>Ida Ayu Kade</v>
      </c>
      <c r="K415" s="6"/>
      <c r="L415" s="6"/>
      <c r="M415" s="6"/>
      <c r="N415" s="6"/>
      <c r="O415" s="6"/>
      <c r="P415" s="10" t="str">
        <f>IFERROR(__xludf.DUMMYFUNCTION("""COMPUTED_VALUE"""),"Mustafa yayan Febriansyach,Ida Ayu Kade,,")</f>
        <v>Mustafa yayan Febriansyach,Ida Ayu Kade,,</v>
      </c>
      <c r="Q415" s="11" t="str">
        <f>IFERROR(__xludf.DUMMYFUNCTION("""COMPUTED_VALUE"""),"https://jurnal.stiesurakarta.ac.id/index.php/jebdeker/article/view/104")</f>
        <v>https://jurnal.stiesurakarta.ac.id/index.php/jebdeker/article/view/104</v>
      </c>
      <c r="R415" s="6"/>
    </row>
    <row r="416">
      <c r="A416" s="5">
        <f>IFERROR(__xludf.DUMMYFUNCTION("""COMPUTED_VALUE"""),415.0)</f>
        <v>415</v>
      </c>
      <c r="B416" s="6" t="str">
        <f>IFERROR(__xludf.DUMMYFUNCTION("""COMPUTED_VALUE"""),"Pengaruh Elemen Laporan Keuangan Terhadap Arus Kas Masa Depan")</f>
        <v>Pengaruh Elemen Laporan Keuangan Terhadap Arus Kas Masa Depan</v>
      </c>
      <c r="C416" s="7">
        <f>IFERROR(__xludf.DUMMYFUNCTION("""COMPUTED_VALUE"""),2022.0)</f>
        <v>2022</v>
      </c>
      <c r="D416" s="8" t="str">
        <f>IFERROR(__xludf.DUMMYFUNCTION("""COMPUTED_VALUE"""),"2021/2022")</f>
        <v>2021/2022</v>
      </c>
      <c r="E416" s="9">
        <f>IFERROR(__xludf.DUMMYFUNCTION("""COMPUTED_VALUE"""),44733.0)</f>
        <v>44733</v>
      </c>
      <c r="F416" s="5" t="str">
        <f>IFERROR(__xludf.DUMMYFUNCTION("""COMPUTED_VALUE"""),"Genap")</f>
        <v>Genap</v>
      </c>
      <c r="G416" s="5" t="str">
        <f>IFERROR(__xludf.DUMMYFUNCTION("""COMPUTED_VALUE"""),"Akuntansi")</f>
        <v>Akuntansi</v>
      </c>
      <c r="H416" s="10" t="str">
        <f>IFERROR(__xludf.DUMMYFUNCTION("""COMPUTED_VALUE"""),"Dosen")</f>
        <v>Dosen</v>
      </c>
      <c r="I416" s="6" t="str">
        <f>IFERROR(__xludf.DUMMYFUNCTION("""COMPUTED_VALUE"""),"Amy Wulandari")</f>
        <v>Amy Wulandari</v>
      </c>
      <c r="J416" s="6" t="str">
        <f>IFERROR(__xludf.DUMMYFUNCTION("""COMPUTED_VALUE"""),"Arif Nugroho Rachman")</f>
        <v>Arif Nugroho Rachman</v>
      </c>
      <c r="K416" s="6" t="str">
        <f>IFERROR(__xludf.DUMMYFUNCTION("""COMPUTED_VALUE"""),"Srimega")</f>
        <v>Srimega</v>
      </c>
      <c r="L416" s="6"/>
      <c r="M416" s="6"/>
      <c r="N416" s="6"/>
      <c r="O416" s="6"/>
      <c r="P416" s="10" t="str">
        <f>IFERROR(__xludf.DUMMYFUNCTION("""COMPUTED_VALUE"""),"Amy Wulandari,Arif Nugroho Rachman,Srimega,")</f>
        <v>Amy Wulandari,Arif Nugroho Rachman,Srimega,</v>
      </c>
      <c r="Q416" s="11" t="str">
        <f>IFERROR(__xludf.DUMMYFUNCTION("""COMPUTED_VALUE"""),"https://jurnal.stiesurakarta.ac.id/index.php/jebdeker/article/view/108")</f>
        <v>https://jurnal.stiesurakarta.ac.id/index.php/jebdeker/article/view/108</v>
      </c>
      <c r="R416" s="6"/>
    </row>
    <row r="417">
      <c r="A417" s="5">
        <f>IFERROR(__xludf.DUMMYFUNCTION("""COMPUTED_VALUE"""),416.0)</f>
        <v>416</v>
      </c>
      <c r="B417" s="6" t="str">
        <f>IFERROR(__xludf.DUMMYFUNCTION("""COMPUTED_VALUE"""),"Pengaruh Lifestyle, Kualitas Layanan, Tempat Dan Variety Seeking Terhadap Brand Switching Barbershop San")</f>
        <v>Pengaruh Lifestyle, Kualitas Layanan, Tempat Dan Variety Seeking Terhadap Brand Switching Barbershop San</v>
      </c>
      <c r="C417" s="7">
        <f>IFERROR(__xludf.DUMMYFUNCTION("""COMPUTED_VALUE"""),2022.0)</f>
        <v>2022</v>
      </c>
      <c r="D417" s="8" t="str">
        <f>IFERROR(__xludf.DUMMYFUNCTION("""COMPUTED_VALUE"""),"2021/2022")</f>
        <v>2021/2022</v>
      </c>
      <c r="E417" s="9">
        <f>IFERROR(__xludf.DUMMYFUNCTION("""COMPUTED_VALUE"""),44733.0)</f>
        <v>44733</v>
      </c>
      <c r="F417" s="5" t="str">
        <f>IFERROR(__xludf.DUMMYFUNCTION("""COMPUTED_VALUE"""),"Genap")</f>
        <v>Genap</v>
      </c>
      <c r="G417" s="5" t="str">
        <f>IFERROR(__xludf.DUMMYFUNCTION("""COMPUTED_VALUE"""),"")</f>
        <v/>
      </c>
      <c r="H417" s="10" t="str">
        <f>IFERROR(__xludf.DUMMYFUNCTION("""COMPUTED_VALUE"""),"Mahasiswa")</f>
        <v>Mahasiswa</v>
      </c>
      <c r="I417" s="6" t="str">
        <f>IFERROR(__xludf.DUMMYFUNCTION("""COMPUTED_VALUE"""),"Mustafa Yayan Febriansyach")</f>
        <v>Mustafa Yayan Febriansyach</v>
      </c>
      <c r="J417" s="6" t="str">
        <f>IFERROR(__xludf.DUMMYFUNCTION("""COMPUTED_VALUE"""),"Ida Ayu")</f>
        <v>Ida Ayu</v>
      </c>
      <c r="K417" s="6"/>
      <c r="L417" s="6"/>
      <c r="M417" s="6"/>
      <c r="N417" s="6"/>
      <c r="O417" s="6"/>
      <c r="P417" s="10" t="str">
        <f>IFERROR(__xludf.DUMMYFUNCTION("""COMPUTED_VALUE"""),"Mustafa Yayan Febriansyach,Ida Ayu,,")</f>
        <v>Mustafa Yayan Febriansyach,Ida Ayu,,</v>
      </c>
      <c r="Q417" s="11" t="str">
        <f>IFERROR(__xludf.DUMMYFUNCTION("""COMPUTED_VALUE"""),"https://jurnal.stiesurakarta.ac.id/index.php/jebdeker/article/view/104")</f>
        <v>https://jurnal.stiesurakarta.ac.id/index.php/jebdeker/article/view/104</v>
      </c>
      <c r="R417" s="6"/>
    </row>
    <row r="418">
      <c r="A418" s="5">
        <f>IFERROR(__xludf.DUMMYFUNCTION("""COMPUTED_VALUE"""),417.0)</f>
        <v>417</v>
      </c>
      <c r="B418" s="6" t="str">
        <f>IFERROR(__xludf.DUMMYFUNCTION("""COMPUTED_VALUE"""),"Faktor yang mempengaruhi Minat Beli Sepatu Lokal Aerostreet")</f>
        <v>Faktor yang mempengaruhi Minat Beli Sepatu Lokal Aerostreet</v>
      </c>
      <c r="C418" s="7">
        <f>IFERROR(__xludf.DUMMYFUNCTION("""COMPUTED_VALUE"""),2022.0)</f>
        <v>2022</v>
      </c>
      <c r="D418" s="8" t="str">
        <f>IFERROR(__xludf.DUMMYFUNCTION("""COMPUTED_VALUE"""),"2021/2022")</f>
        <v>2021/2022</v>
      </c>
      <c r="E418" s="9">
        <f>IFERROR(__xludf.DUMMYFUNCTION("""COMPUTED_VALUE"""),44734.0)</f>
        <v>44734</v>
      </c>
      <c r="F418" s="5" t="str">
        <f>IFERROR(__xludf.DUMMYFUNCTION("""COMPUTED_VALUE"""),"Genap")</f>
        <v>Genap</v>
      </c>
      <c r="G418" s="5" t="str">
        <f>IFERROR(__xludf.DUMMYFUNCTION("""COMPUTED_VALUE"""),"Manajemen")</f>
        <v>Manajemen</v>
      </c>
      <c r="H418" s="10" t="str">
        <f>IFERROR(__xludf.DUMMYFUNCTION("""COMPUTED_VALUE"""),"Mahasiswa")</f>
        <v>Mahasiswa</v>
      </c>
      <c r="I418" s="6" t="str">
        <f>IFERROR(__xludf.DUMMYFUNCTION("""COMPUTED_VALUE"""),"Warno")</f>
        <v>Warno</v>
      </c>
      <c r="J418" s="6" t="str">
        <f>IFERROR(__xludf.DUMMYFUNCTION("""COMPUTED_VALUE"""),"Ginanjar Rahmawan")</f>
        <v>Ginanjar Rahmawan</v>
      </c>
      <c r="K418" s="6"/>
      <c r="L418" s="6"/>
      <c r="M418" s="6"/>
      <c r="N418" s="6"/>
      <c r="O418" s="6"/>
      <c r="P418" s="10" t="str">
        <f>IFERROR(__xludf.DUMMYFUNCTION("""COMPUTED_VALUE"""),"Warno,Ginanjar Rahmawan,,")</f>
        <v>Warno,Ginanjar Rahmawan,,</v>
      </c>
      <c r="Q418" s="11" t="str">
        <f>IFERROR(__xludf.DUMMYFUNCTION("""COMPUTED_VALUE"""),"https://jurnal.stiesurakarta.ac.id/index.php/jebdeker/article/view/103")</f>
        <v>https://jurnal.stiesurakarta.ac.id/index.php/jebdeker/article/view/103</v>
      </c>
      <c r="R418" s="6"/>
    </row>
    <row r="419">
      <c r="A419" s="5">
        <f>IFERROR(__xludf.DUMMYFUNCTION("""COMPUTED_VALUE"""),418.0)</f>
        <v>418</v>
      </c>
      <c r="B419" s="6" t="str">
        <f>IFERROR(__xludf.DUMMYFUNCTION("""COMPUTED_VALUE"""),"“PENGARUH GAYA KEPEMIMPINAN, KOMPENSASI, LINGKUNGAN KERJA DAN MOTIVASI TERHADAP KINERJA KARYAWAN PADA CV CAHAYA ABADI DELANGGU")</f>
        <v>“PENGARUH GAYA KEPEMIMPINAN, KOMPENSASI, LINGKUNGAN KERJA DAN MOTIVASI TERHADAP KINERJA KARYAWAN PADA CV CAHAYA ABADI DELANGGU</v>
      </c>
      <c r="C419" s="7">
        <f>IFERROR(__xludf.DUMMYFUNCTION("""COMPUTED_VALUE"""),2022.0)</f>
        <v>2022</v>
      </c>
      <c r="D419" s="8" t="str">
        <f>IFERROR(__xludf.DUMMYFUNCTION("""COMPUTED_VALUE"""),"2021/2022")</f>
        <v>2021/2022</v>
      </c>
      <c r="E419" s="9">
        <f>IFERROR(__xludf.DUMMYFUNCTION("""COMPUTED_VALUE"""),44741.0)</f>
        <v>44741</v>
      </c>
      <c r="F419" s="5" t="str">
        <f>IFERROR(__xludf.DUMMYFUNCTION("""COMPUTED_VALUE"""),"Genap")</f>
        <v>Genap</v>
      </c>
      <c r="G419" s="5" t="str">
        <f>IFERROR(__xludf.DUMMYFUNCTION("""COMPUTED_VALUE"""),"Manajemen")</f>
        <v>Manajemen</v>
      </c>
      <c r="H419" s="10" t="str">
        <f>IFERROR(__xludf.DUMMYFUNCTION("""COMPUTED_VALUE"""),"Mahasiswa")</f>
        <v>Mahasiswa</v>
      </c>
      <c r="I419" s="6" t="str">
        <f>IFERROR(__xludf.DUMMYFUNCTION("""COMPUTED_VALUE"""),"Dimas Hernawan")</f>
        <v>Dimas Hernawan</v>
      </c>
      <c r="J419" s="6" t="str">
        <f>IFERROR(__xludf.DUMMYFUNCTION("""COMPUTED_VALUE"""),"Christiawan Hendratmoko")</f>
        <v>Christiawan Hendratmoko</v>
      </c>
      <c r="K419" s="6"/>
      <c r="L419" s="6"/>
      <c r="M419" s="6"/>
      <c r="N419" s="6"/>
      <c r="O419" s="6"/>
      <c r="P419" s="10" t="str">
        <f>IFERROR(__xludf.DUMMYFUNCTION("""COMPUTED_VALUE"""),"Dimas Hernawan,Christiawan Hendratmoko,,")</f>
        <v>Dimas Hernawan,Christiawan Hendratmoko,,</v>
      </c>
      <c r="Q419" s="11" t="str">
        <f>IFERROR(__xludf.DUMMYFUNCTION("""COMPUTED_VALUE"""),"https://bajangjournal.com/index.php/JEMBA/article/view/2622")</f>
        <v>https://bajangjournal.com/index.php/JEMBA/article/view/2622</v>
      </c>
      <c r="R419" s="6"/>
    </row>
    <row r="420">
      <c r="A420" s="5">
        <f>IFERROR(__xludf.DUMMYFUNCTION("""COMPUTED_VALUE"""),419.0)</f>
        <v>419</v>
      </c>
      <c r="B420" s="6" t="str">
        <f>IFERROR(__xludf.DUMMYFUNCTION("""COMPUTED_VALUE"""),"Promosi, Harga, Lokasi Terhadap Penjualan Sepeda Motor Pada Dealer Honda Pt. Nagamas Motor Kartasura Di Masa Pandemi")</f>
        <v>Promosi, Harga, Lokasi Terhadap Penjualan Sepeda Motor Pada Dealer Honda Pt. Nagamas Motor Kartasura Di Masa Pandemi</v>
      </c>
      <c r="C420" s="7">
        <f>IFERROR(__xludf.DUMMYFUNCTION("""COMPUTED_VALUE"""),2022.0)</f>
        <v>2022</v>
      </c>
      <c r="D420" s="8" t="str">
        <f>IFERROR(__xludf.DUMMYFUNCTION("""COMPUTED_VALUE"""),"2021/2022")</f>
        <v>2021/2022</v>
      </c>
      <c r="E420" s="9">
        <f>IFERROR(__xludf.DUMMYFUNCTION("""COMPUTED_VALUE"""),44741.0)</f>
        <v>44741</v>
      </c>
      <c r="F420" s="5" t="str">
        <f>IFERROR(__xludf.DUMMYFUNCTION("""COMPUTED_VALUE"""),"Genap")</f>
        <v>Genap</v>
      </c>
      <c r="G420" s="5" t="str">
        <f>IFERROR(__xludf.DUMMYFUNCTION("""COMPUTED_VALUE"""),"Manajemen")</f>
        <v>Manajemen</v>
      </c>
      <c r="H420" s="10" t="str">
        <f>IFERROR(__xludf.DUMMYFUNCTION("""COMPUTED_VALUE"""),"Mahasiswa")</f>
        <v>Mahasiswa</v>
      </c>
      <c r="I420" s="6" t="str">
        <f>IFERROR(__xludf.DUMMYFUNCTION("""COMPUTED_VALUE"""),"Yunisma Sulistyaningrum")</f>
        <v>Yunisma Sulistyaningrum</v>
      </c>
      <c r="J420" s="6" t="str">
        <f>IFERROR(__xludf.DUMMYFUNCTION("""COMPUTED_VALUE"""),"Ari Susanti")</f>
        <v>Ari Susanti</v>
      </c>
      <c r="K420" s="6"/>
      <c r="L420" s="6"/>
      <c r="M420" s="6"/>
      <c r="N420" s="6"/>
      <c r="O420" s="6"/>
      <c r="P420" s="10" t="str">
        <f>IFERROR(__xludf.DUMMYFUNCTION("""COMPUTED_VALUE"""),"Yunisma Sulistyaningrum,Ari Susanti,,")</f>
        <v>Yunisma Sulistyaningrum,Ari Susanti,,</v>
      </c>
      <c r="Q420" s="11" t="str">
        <f>IFERROR(__xludf.DUMMYFUNCTION("""COMPUTED_VALUE"""),"https://bajangjournal.com/index.php/JEMBA/article/view/2606")</f>
        <v>https://bajangjournal.com/index.php/JEMBA/article/view/2606</v>
      </c>
      <c r="R420" s="6"/>
    </row>
    <row r="421">
      <c r="A421" s="5">
        <f>IFERROR(__xludf.DUMMYFUNCTION("""COMPUTED_VALUE"""),420.0)</f>
        <v>420</v>
      </c>
      <c r="B421" s="6" t="str">
        <f>IFERROR(__xludf.DUMMYFUNCTION("""COMPUTED_VALUE"""),"Pengaruh Gaya Kepemimpinan, Kompensasi, Lingkungan Kerja Dan Motivasi Terhadap Kinerja Karyawan Pada Cv Cahaya Abadi Delanggu")</f>
        <v>Pengaruh Gaya Kepemimpinan, Kompensasi, Lingkungan Kerja Dan Motivasi Terhadap Kinerja Karyawan Pada Cv Cahaya Abadi Delanggu</v>
      </c>
      <c r="C421" s="7">
        <f>IFERROR(__xludf.DUMMYFUNCTION("""COMPUTED_VALUE"""),2022.0)</f>
        <v>2022</v>
      </c>
      <c r="D421" s="8" t="str">
        <f>IFERROR(__xludf.DUMMYFUNCTION("""COMPUTED_VALUE"""),"2021/2022")</f>
        <v>2021/2022</v>
      </c>
      <c r="E421" s="9">
        <f>IFERROR(__xludf.DUMMYFUNCTION("""COMPUTED_VALUE"""),44741.0)</f>
        <v>44741</v>
      </c>
      <c r="F421" s="5" t="str">
        <f>IFERROR(__xludf.DUMMYFUNCTION("""COMPUTED_VALUE"""),"Genap")</f>
        <v>Genap</v>
      </c>
      <c r="G421" s="5" t="str">
        <f>IFERROR(__xludf.DUMMYFUNCTION("""COMPUTED_VALUE"""),"Manajemen")</f>
        <v>Manajemen</v>
      </c>
      <c r="H421" s="10" t="str">
        <f>IFERROR(__xludf.DUMMYFUNCTION("""COMPUTED_VALUE"""),"Mahasiswa")</f>
        <v>Mahasiswa</v>
      </c>
      <c r="I421" s="6" t="str">
        <f>IFERROR(__xludf.DUMMYFUNCTION("""COMPUTED_VALUE"""),"Dimas Hernawan")</f>
        <v>Dimas Hernawan</v>
      </c>
      <c r="J421" s="6" t="str">
        <f>IFERROR(__xludf.DUMMYFUNCTION("""COMPUTED_VALUE"""),"Christiawan Hendratmoko")</f>
        <v>Christiawan Hendratmoko</v>
      </c>
      <c r="K421" s="6"/>
      <c r="L421" s="6"/>
      <c r="M421" s="6"/>
      <c r="N421" s="6"/>
      <c r="O421" s="6"/>
      <c r="P421" s="10" t="str">
        <f>IFERROR(__xludf.DUMMYFUNCTION("""COMPUTED_VALUE"""),"Dimas Hernawan,Christiawan Hendratmoko,,")</f>
        <v>Dimas Hernawan,Christiawan Hendratmoko,,</v>
      </c>
      <c r="Q421" s="11" t="str">
        <f>IFERROR(__xludf.DUMMYFUNCTION("""COMPUTED_VALUE"""),"https://bajangjournal.com/index.php/JEMBA/article/view/2622")</f>
        <v>https://bajangjournal.com/index.php/JEMBA/article/view/2622</v>
      </c>
      <c r="R421" s="6"/>
    </row>
    <row r="422">
      <c r="A422" s="5">
        <f>IFERROR(__xludf.DUMMYFUNCTION("""COMPUTED_VALUE"""),421.0)</f>
        <v>421</v>
      </c>
      <c r="B422" s="6" t="str">
        <f>IFERROR(__xludf.DUMMYFUNCTION("""COMPUTED_VALUE"""),"FAKTOR-FAKTOR YANG MEMPENGARUHI PERILAKU KONSUMTIF PADA GENERASI MILLENIAL PENGGUNA SOPEE DI SOLO")</f>
        <v>FAKTOR-FAKTOR YANG MEMPENGARUHI PERILAKU KONSUMTIF PADA GENERASI MILLENIAL PENGGUNA SOPEE DI SOLO</v>
      </c>
      <c r="C422" s="7">
        <f>IFERROR(__xludf.DUMMYFUNCTION("""COMPUTED_VALUE"""),2022.0)</f>
        <v>2022</v>
      </c>
      <c r="D422" s="8" t="str">
        <f>IFERROR(__xludf.DUMMYFUNCTION("""COMPUTED_VALUE"""),"2021/2022")</f>
        <v>2021/2022</v>
      </c>
      <c r="E422" s="9">
        <f>IFERROR(__xludf.DUMMYFUNCTION("""COMPUTED_VALUE"""),44742.0)</f>
        <v>44742</v>
      </c>
      <c r="F422" s="5" t="str">
        <f>IFERROR(__xludf.DUMMYFUNCTION("""COMPUTED_VALUE"""),"Genap")</f>
        <v>Genap</v>
      </c>
      <c r="G422" s="5" t="str">
        <f>IFERROR(__xludf.DUMMYFUNCTION("""COMPUTED_VALUE"""),"Manajemen")</f>
        <v>Manajemen</v>
      </c>
      <c r="H422" s="10" t="str">
        <f>IFERROR(__xludf.DUMMYFUNCTION("""COMPUTED_VALUE"""),"Mahasiswa")</f>
        <v>Mahasiswa</v>
      </c>
      <c r="I422" s="6" t="str">
        <f>IFERROR(__xludf.DUMMYFUNCTION("""COMPUTED_VALUE"""),"Ria Melina Atmaja")</f>
        <v>Ria Melina Atmaja</v>
      </c>
      <c r="J422" s="6" t="str">
        <f>IFERROR(__xludf.DUMMYFUNCTION("""COMPUTED_VALUE"""),"Ari Susanti")</f>
        <v>Ari Susanti</v>
      </c>
      <c r="K422" s="6"/>
      <c r="L422" s="6"/>
      <c r="M422" s="6"/>
      <c r="N422" s="6"/>
      <c r="O422" s="6"/>
      <c r="P422" s="10" t="str">
        <f>IFERROR(__xludf.DUMMYFUNCTION("""COMPUTED_VALUE"""),"Ria Melina Atmaja,Ari Susanti,,")</f>
        <v>Ria Melina Atmaja,Ari Susanti,,</v>
      </c>
      <c r="Q422" s="11" t="str">
        <f>IFERROR(__xludf.DUMMYFUNCTION("""COMPUTED_VALUE"""),"http://journal.uyr.ac.id/index.php/JAB/article/view/57-66")</f>
        <v>http://journal.uyr.ac.id/index.php/JAB/article/view/57-66</v>
      </c>
      <c r="R422" s="6"/>
    </row>
    <row r="423">
      <c r="A423" s="5">
        <f>IFERROR(__xludf.DUMMYFUNCTION("""COMPUTED_VALUE"""),422.0)</f>
        <v>422</v>
      </c>
      <c r="B423" s="6" t="str">
        <f>IFERROR(__xludf.DUMMYFUNCTION("""COMPUTED_VALUE"""),"ANALISIS MINAT MASYARAKAT MENGGUNAKAN APLIKASI HALO DOC DIMASA PANDEMI COVID-19")</f>
        <v>ANALISIS MINAT MASYARAKAT MENGGUNAKAN APLIKASI HALO DOC DIMASA PANDEMI COVID-19</v>
      </c>
      <c r="C423" s="7">
        <f>IFERROR(__xludf.DUMMYFUNCTION("""COMPUTED_VALUE"""),2022.0)</f>
        <v>2022</v>
      </c>
      <c r="D423" s="8" t="str">
        <f>IFERROR(__xludf.DUMMYFUNCTION("""COMPUTED_VALUE"""),"2021/2022")</f>
        <v>2021/2022</v>
      </c>
      <c r="E423" s="9">
        <f>IFERROR(__xludf.DUMMYFUNCTION("""COMPUTED_VALUE"""),44742.0)</f>
        <v>44742</v>
      </c>
      <c r="F423" s="5" t="str">
        <f>IFERROR(__xludf.DUMMYFUNCTION("""COMPUTED_VALUE"""),"Genap")</f>
        <v>Genap</v>
      </c>
      <c r="G423" s="5" t="str">
        <f>IFERROR(__xludf.DUMMYFUNCTION("""COMPUTED_VALUE"""),"Manajemen")</f>
        <v>Manajemen</v>
      </c>
      <c r="H423" s="10" t="str">
        <f>IFERROR(__xludf.DUMMYFUNCTION("""COMPUTED_VALUE"""),"Mahasiswa")</f>
        <v>Mahasiswa</v>
      </c>
      <c r="I423" s="6" t="str">
        <f>IFERROR(__xludf.DUMMYFUNCTION("""COMPUTED_VALUE"""),"Serliyana Cindi Rosita")</f>
        <v>Serliyana Cindi Rosita</v>
      </c>
      <c r="J423" s="6" t="str">
        <f>IFERROR(__xludf.DUMMYFUNCTION("""COMPUTED_VALUE"""),"Ginanjar Rahmawan")</f>
        <v>Ginanjar Rahmawan</v>
      </c>
      <c r="K423" s="6"/>
      <c r="L423" s="6"/>
      <c r="M423" s="6"/>
      <c r="N423" s="6"/>
      <c r="O423" s="6"/>
      <c r="P423" s="10" t="str">
        <f>IFERROR(__xludf.DUMMYFUNCTION("""COMPUTED_VALUE"""),"Serliyana Cindi Rosita,Ginanjar Rahmawan,,")</f>
        <v>Serliyana Cindi Rosita,Ginanjar Rahmawan,,</v>
      </c>
      <c r="Q423" s="11" t="str">
        <f>IFERROR(__xludf.DUMMYFUNCTION("""COMPUTED_VALUE"""),"https://bajangjournal.com/index.php/Juremi/article/view/2692")</f>
        <v>https://bajangjournal.com/index.php/Juremi/article/view/2692</v>
      </c>
      <c r="R423" s="6"/>
    </row>
    <row r="424">
      <c r="A424" s="5">
        <f>IFERROR(__xludf.DUMMYFUNCTION("""COMPUTED_VALUE"""),423.0)</f>
        <v>423</v>
      </c>
      <c r="B424" s="6" t="str">
        <f>IFERROR(__xludf.DUMMYFUNCTION("""COMPUTED_VALUE"""),"STUDI PENGARUH KEPATUHAN WAJIB PAJAK UMKM KUNINGAN DICEPOGO,BOYOLALI")</f>
        <v>STUDI PENGARUH KEPATUHAN WAJIB PAJAK UMKM KUNINGAN DICEPOGO,BOYOLALI</v>
      </c>
      <c r="C424" s="7">
        <f>IFERROR(__xludf.DUMMYFUNCTION("""COMPUTED_VALUE"""),2022.0)</f>
        <v>2022</v>
      </c>
      <c r="D424" s="8" t="str">
        <f>IFERROR(__xludf.DUMMYFUNCTION("""COMPUTED_VALUE"""),"2021/2022")</f>
        <v>2021/2022</v>
      </c>
      <c r="E424" s="9">
        <f>IFERROR(__xludf.DUMMYFUNCTION("""COMPUTED_VALUE"""),44742.0)</f>
        <v>44742</v>
      </c>
      <c r="F424" s="5" t="str">
        <f>IFERROR(__xludf.DUMMYFUNCTION("""COMPUTED_VALUE"""),"Genap")</f>
        <v>Genap</v>
      </c>
      <c r="G424" s="5" t="str">
        <f>IFERROR(__xludf.DUMMYFUNCTION("""COMPUTED_VALUE"""),"Akuntansi")</f>
        <v>Akuntansi</v>
      </c>
      <c r="H424" s="10" t="str">
        <f>IFERROR(__xludf.DUMMYFUNCTION("""COMPUTED_VALUE"""),"Mahasiswa")</f>
        <v>Mahasiswa</v>
      </c>
      <c r="I424" s="6" t="str">
        <f>IFERROR(__xludf.DUMMYFUNCTION("""COMPUTED_VALUE"""),"Endarwati")</f>
        <v>Endarwati</v>
      </c>
      <c r="J424" s="6" t="str">
        <f>IFERROR(__xludf.DUMMYFUNCTION("""COMPUTED_VALUE"""),"Arif Nugroho Rachman")</f>
        <v>Arif Nugroho Rachman</v>
      </c>
      <c r="K424" s="6"/>
      <c r="L424" s="6"/>
      <c r="M424" s="6"/>
      <c r="N424" s="6"/>
      <c r="O424" s="6"/>
      <c r="P424" s="10" t="str">
        <f>IFERROR(__xludf.DUMMYFUNCTION("""COMPUTED_VALUE"""),"Endarwati,Arif Nugroho Rachman,,")</f>
        <v>Endarwati,Arif Nugroho Rachman,,</v>
      </c>
      <c r="Q424" s="11" t="str">
        <f>IFERROR(__xludf.DUMMYFUNCTION("""COMPUTED_VALUE"""),"https://bajangjournal.com/index.php/Juremi/article/view/2387")</f>
        <v>https://bajangjournal.com/index.php/Juremi/article/view/2387</v>
      </c>
      <c r="R424" s="6"/>
    </row>
    <row r="425">
      <c r="A425" s="5">
        <f>IFERROR(__xludf.DUMMYFUNCTION("""COMPUTED_VALUE"""),424.0)</f>
        <v>424</v>
      </c>
      <c r="B425" s="6" t="str">
        <f>IFERROR(__xludf.DUMMYFUNCTION("""COMPUTED_VALUE"""),"Faktor-Faktor Yang Mempengaruhi Perilaku Konsumtif Pada Generasi Millenial Pengguna Shopee Di Solo")</f>
        <v>Faktor-Faktor Yang Mempengaruhi Perilaku Konsumtif Pada Generasi Millenial Pengguna Shopee Di Solo</v>
      </c>
      <c r="C425" s="7">
        <f>IFERROR(__xludf.DUMMYFUNCTION("""COMPUTED_VALUE"""),2022.0)</f>
        <v>2022</v>
      </c>
      <c r="D425" s="8" t="str">
        <f>IFERROR(__xludf.DUMMYFUNCTION("""COMPUTED_VALUE"""),"2021/2022")</f>
        <v>2021/2022</v>
      </c>
      <c r="E425" s="9">
        <f>IFERROR(__xludf.DUMMYFUNCTION("""COMPUTED_VALUE"""),44742.0)</f>
        <v>44742</v>
      </c>
      <c r="F425" s="5" t="str">
        <f>IFERROR(__xludf.DUMMYFUNCTION("""COMPUTED_VALUE"""),"Genap")</f>
        <v>Genap</v>
      </c>
      <c r="G425" s="5" t="str">
        <f>IFERROR(__xludf.DUMMYFUNCTION("""COMPUTED_VALUE"""),"Manajemen")</f>
        <v>Manajemen</v>
      </c>
      <c r="H425" s="10" t="str">
        <f>IFERROR(__xludf.DUMMYFUNCTION("""COMPUTED_VALUE"""),"Mahasiswa")</f>
        <v>Mahasiswa</v>
      </c>
      <c r="I425" s="6" t="str">
        <f>IFERROR(__xludf.DUMMYFUNCTION("""COMPUTED_VALUE"""),"Ria Melina Atmaja")</f>
        <v>Ria Melina Atmaja</v>
      </c>
      <c r="J425" s="6" t="str">
        <f>IFERROR(__xludf.DUMMYFUNCTION("""COMPUTED_VALUE"""),"Ari Susanti")</f>
        <v>Ari Susanti</v>
      </c>
      <c r="K425" s="6"/>
      <c r="L425" s="6"/>
      <c r="M425" s="6"/>
      <c r="N425" s="6"/>
      <c r="O425" s="6"/>
      <c r="P425" s="10" t="str">
        <f>IFERROR(__xludf.DUMMYFUNCTION("""COMPUTED_VALUE"""),"Ria Melina Atmaja,Ari Susanti,,")</f>
        <v>Ria Melina Atmaja,Ari Susanti,,</v>
      </c>
      <c r="Q425" s="11" t="str">
        <f>IFERROR(__xludf.DUMMYFUNCTION("""COMPUTED_VALUE"""),"https://journal.uyr.ac.id/index.php/JAB/article/view/57-66")</f>
        <v>https://journal.uyr.ac.id/index.php/JAB/article/view/57-66</v>
      </c>
      <c r="R425" s="6"/>
    </row>
    <row r="426">
      <c r="A426" s="5">
        <f>IFERROR(__xludf.DUMMYFUNCTION("""COMPUTED_VALUE"""),425.0)</f>
        <v>425</v>
      </c>
      <c r="B426" s="6" t="str">
        <f>IFERROR(__xludf.DUMMYFUNCTION("""COMPUTED_VALUE"""),"Pengaruh Kepuasan Kerja, Budaya Organisasi, Komitmen Organisasi Dan Karakteristik Pekerjaan Terhadap Organizational Citizenship Behavior")</f>
        <v>Pengaruh Kepuasan Kerja, Budaya Organisasi, Komitmen Organisasi Dan Karakteristik Pekerjaan Terhadap Organizational Citizenship Behavior</v>
      </c>
      <c r="C426" s="7">
        <f>IFERROR(__xludf.DUMMYFUNCTION("""COMPUTED_VALUE"""),2022.0)</f>
        <v>2022</v>
      </c>
      <c r="D426" s="8" t="str">
        <f>IFERROR(__xludf.DUMMYFUNCTION("""COMPUTED_VALUE"""),"2021/2022")</f>
        <v>2021/2022</v>
      </c>
      <c r="E426" s="9">
        <f>IFERROR(__xludf.DUMMYFUNCTION("""COMPUTED_VALUE"""),44742.0)</f>
        <v>44742</v>
      </c>
      <c r="F426" s="5" t="str">
        <f>IFERROR(__xludf.DUMMYFUNCTION("""COMPUTED_VALUE"""),"Genap")</f>
        <v>Genap</v>
      </c>
      <c r="G426" s="5" t="str">
        <f>IFERROR(__xludf.DUMMYFUNCTION("""COMPUTED_VALUE"""),"Manajemen")</f>
        <v>Manajemen</v>
      </c>
      <c r="H426" s="10" t="str">
        <f>IFERROR(__xludf.DUMMYFUNCTION("""COMPUTED_VALUE"""),"Mahasiswa")</f>
        <v>Mahasiswa</v>
      </c>
      <c r="I426" s="6" t="str">
        <f>IFERROR(__xludf.DUMMYFUNCTION("""COMPUTED_VALUE"""),"Erika Ayu Saputri")</f>
        <v>Erika Ayu Saputri</v>
      </c>
      <c r="J426" s="6" t="str">
        <f>IFERROR(__xludf.DUMMYFUNCTION("""COMPUTED_VALUE"""),"Christiawan Hendratmoko")</f>
        <v>Christiawan Hendratmoko</v>
      </c>
      <c r="K426" s="6"/>
      <c r="L426" s="6"/>
      <c r="M426" s="6"/>
      <c r="N426" s="6"/>
      <c r="O426" s="6"/>
      <c r="P426" s="10" t="str">
        <f>IFERROR(__xludf.DUMMYFUNCTION("""COMPUTED_VALUE"""),"Erika Ayu Saputri,Christiawan Hendratmoko,,")</f>
        <v>Erika Ayu Saputri,Christiawan Hendratmoko,,</v>
      </c>
      <c r="Q426" s="11" t="str">
        <f>IFERROR(__xludf.DUMMYFUNCTION("""COMPUTED_VALUE"""),"https://garuda.kemdikbud.go.id/documents/detail/2838151")</f>
        <v>https://garuda.kemdikbud.go.id/documents/detail/2838151</v>
      </c>
      <c r="R426" s="6"/>
    </row>
    <row r="427">
      <c r="A427" s="5">
        <f>IFERROR(__xludf.DUMMYFUNCTION("""COMPUTED_VALUE"""),426.0)</f>
        <v>426</v>
      </c>
      <c r="B427" s="6" t="str">
        <f>IFERROR(__xludf.DUMMYFUNCTION("""COMPUTED_VALUE"""),"Pengaruh Product Quality, Service Quality, Price, Dan Brand Image Terhadap Customer Satisfaction")</f>
        <v>Pengaruh Product Quality, Service Quality, Price, Dan Brand Image Terhadap Customer Satisfaction</v>
      </c>
      <c r="C427" s="7">
        <f>IFERROR(__xludf.DUMMYFUNCTION("""COMPUTED_VALUE"""),2022.0)</f>
        <v>2022</v>
      </c>
      <c r="D427" s="8" t="str">
        <f>IFERROR(__xludf.DUMMYFUNCTION("""COMPUTED_VALUE"""),"2021/2022")</f>
        <v>2021/2022</v>
      </c>
      <c r="E427" s="9">
        <f>IFERROR(__xludf.DUMMYFUNCTION("""COMPUTED_VALUE"""),44742.0)</f>
        <v>44742</v>
      </c>
      <c r="F427" s="5" t="str">
        <f>IFERROR(__xludf.DUMMYFUNCTION("""COMPUTED_VALUE"""),"Genap")</f>
        <v>Genap</v>
      </c>
      <c r="G427" s="5" t="str">
        <f>IFERROR(__xludf.DUMMYFUNCTION("""COMPUTED_VALUE"""),"Manajemen")</f>
        <v>Manajemen</v>
      </c>
      <c r="H427" s="10" t="str">
        <f>IFERROR(__xludf.DUMMYFUNCTION("""COMPUTED_VALUE"""),"Mahasiswa")</f>
        <v>Mahasiswa</v>
      </c>
      <c r="I427" s="6" t="str">
        <f>IFERROR(__xludf.DUMMYFUNCTION("""COMPUTED_VALUE"""),"Cicik Avitia Ningrum")</f>
        <v>Cicik Avitia Ningrum</v>
      </c>
      <c r="J427" s="6" t="str">
        <f>IFERROR(__xludf.DUMMYFUNCTION("""COMPUTED_VALUE"""),"Christiawan Hendratmoko")</f>
        <v>Christiawan Hendratmoko</v>
      </c>
      <c r="K427" s="6"/>
      <c r="L427" s="6"/>
      <c r="M427" s="6"/>
      <c r="N427" s="6"/>
      <c r="O427" s="6"/>
      <c r="P427" s="10" t="str">
        <f>IFERROR(__xludf.DUMMYFUNCTION("""COMPUTED_VALUE"""),"Cicik Avitia Ningrum,Christiawan Hendratmoko,,")</f>
        <v>Cicik Avitia Ningrum,Christiawan Hendratmoko,,</v>
      </c>
      <c r="Q427" s="11" t="str">
        <f>IFERROR(__xludf.DUMMYFUNCTION("""COMPUTED_VALUE"""),"https://garuda.kemdikbud.go.id/documents/detail/3209011")</f>
        <v>https://garuda.kemdikbud.go.id/documents/detail/3209011</v>
      </c>
      <c r="R427" s="6"/>
    </row>
    <row r="428">
      <c r="A428" s="5">
        <f>IFERROR(__xludf.DUMMYFUNCTION("""COMPUTED_VALUE"""),427.0)</f>
        <v>427</v>
      </c>
      <c r="B428" s="6" t="str">
        <f>IFERROR(__xludf.DUMMYFUNCTION("""COMPUTED_VALUE"""),"Menguji Kualitas Produk, Citra Merek, Harga Dan Promosi Terhadap Keputusan Pembelian Kfc Cabang Solo")</f>
        <v>Menguji Kualitas Produk, Citra Merek, Harga Dan Promosi Terhadap Keputusan Pembelian Kfc Cabang Solo</v>
      </c>
      <c r="C428" s="7">
        <f>IFERROR(__xludf.DUMMYFUNCTION("""COMPUTED_VALUE"""),2022.0)</f>
        <v>2022</v>
      </c>
      <c r="D428" s="8" t="str">
        <f>IFERROR(__xludf.DUMMYFUNCTION("""COMPUTED_VALUE"""),"2021/2022")</f>
        <v>2021/2022</v>
      </c>
      <c r="E428" s="9">
        <f>IFERROR(__xludf.DUMMYFUNCTION("""COMPUTED_VALUE"""),44742.0)</f>
        <v>44742</v>
      </c>
      <c r="F428" s="5" t="str">
        <f>IFERROR(__xludf.DUMMYFUNCTION("""COMPUTED_VALUE"""),"Genap")</f>
        <v>Genap</v>
      </c>
      <c r="G428" s="5" t="str">
        <f>IFERROR(__xludf.DUMMYFUNCTION("""COMPUTED_VALUE"""),"Manajemen")</f>
        <v>Manajemen</v>
      </c>
      <c r="H428" s="10" t="str">
        <f>IFERROR(__xludf.DUMMYFUNCTION("""COMPUTED_VALUE"""),"Mahasiswa")</f>
        <v>Mahasiswa</v>
      </c>
      <c r="I428" s="6" t="str">
        <f>IFERROR(__xludf.DUMMYFUNCTION("""COMPUTED_VALUE"""),"Nurul Hidayati")</f>
        <v>Nurul Hidayati</v>
      </c>
      <c r="J428" s="6" t="str">
        <f>IFERROR(__xludf.DUMMYFUNCTION("""COMPUTED_VALUE"""),"Heny Kurnianingsih")</f>
        <v>Heny Kurnianingsih</v>
      </c>
      <c r="K428" s="6"/>
      <c r="L428" s="6"/>
      <c r="M428" s="6"/>
      <c r="N428" s="6"/>
      <c r="O428" s="6"/>
      <c r="P428" s="10" t="str">
        <f>IFERROR(__xludf.DUMMYFUNCTION("""COMPUTED_VALUE"""),"Nurul Hidayati,Heny Kurnianingsih,,")</f>
        <v>Nurul Hidayati,Heny Kurnianingsih,,</v>
      </c>
      <c r="Q428" s="11" t="str">
        <f>IFERROR(__xludf.DUMMYFUNCTION("""COMPUTED_VALUE"""),"https://ejurnalmalahayati.ac.id/index.php/risetekonomi/article/view/6161")</f>
        <v>https://ejurnalmalahayati.ac.id/index.php/risetekonomi/article/view/6161</v>
      </c>
      <c r="R428" s="6"/>
    </row>
    <row r="429">
      <c r="A429" s="5">
        <f>IFERROR(__xludf.DUMMYFUNCTION("""COMPUTED_VALUE"""),428.0)</f>
        <v>428</v>
      </c>
      <c r="B429" s="6" t="str">
        <f>IFERROR(__xludf.DUMMYFUNCTION("""COMPUTED_VALUE"""),"Pengaruh Iklan, Pester Power, Dan Harga Terhadap Keputusan Pembelian")</f>
        <v>Pengaruh Iklan, Pester Power, Dan Harga Terhadap Keputusan Pembelian</v>
      </c>
      <c r="C429" s="7">
        <f>IFERROR(__xludf.DUMMYFUNCTION("""COMPUTED_VALUE"""),2022.0)</f>
        <v>2022</v>
      </c>
      <c r="D429" s="8" t="str">
        <f>IFERROR(__xludf.DUMMYFUNCTION("""COMPUTED_VALUE"""),"2021/2022")</f>
        <v>2021/2022</v>
      </c>
      <c r="E429" s="9">
        <f>IFERROR(__xludf.DUMMYFUNCTION("""COMPUTED_VALUE"""),44742.0)</f>
        <v>44742</v>
      </c>
      <c r="F429" s="5" t="str">
        <f>IFERROR(__xludf.DUMMYFUNCTION("""COMPUTED_VALUE"""),"Genap")</f>
        <v>Genap</v>
      </c>
      <c r="G429" s="5" t="str">
        <f>IFERROR(__xludf.DUMMYFUNCTION("""COMPUTED_VALUE"""),"")</f>
        <v/>
      </c>
      <c r="H429" s="10" t="str">
        <f>IFERROR(__xludf.DUMMYFUNCTION("""COMPUTED_VALUE"""),"Mahasiswa")</f>
        <v>Mahasiswa</v>
      </c>
      <c r="I429" s="6" t="str">
        <f>IFERROR(__xludf.DUMMYFUNCTION("""COMPUTED_VALUE"""),"Bagas Yunanto")</f>
        <v>Bagas Yunanto</v>
      </c>
      <c r="J429" s="6" t="str">
        <f>IFERROR(__xludf.DUMMYFUNCTION("""COMPUTED_VALUE"""),"Andri Nurtianto")</f>
        <v>Andri Nurtianto</v>
      </c>
      <c r="K429" s="6"/>
      <c r="L429" s="6"/>
      <c r="M429" s="6"/>
      <c r="N429" s="6"/>
      <c r="O429" s="6"/>
      <c r="P429" s="10" t="str">
        <f>IFERROR(__xludf.DUMMYFUNCTION("""COMPUTED_VALUE"""),"Bagas Yunanto,Andri Nurtianto,,")</f>
        <v>Bagas Yunanto,Andri Nurtianto,,</v>
      </c>
      <c r="Q429" s="11" t="str">
        <f>IFERROR(__xludf.DUMMYFUNCTION("""COMPUTED_VALUE"""),"https://garuda.kemdikbud.go.id/documents/detail/2838159")</f>
        <v>https://garuda.kemdikbud.go.id/documents/detail/2838159</v>
      </c>
      <c r="R429" s="6"/>
    </row>
    <row r="430">
      <c r="A430" s="5">
        <f>IFERROR(__xludf.DUMMYFUNCTION("""COMPUTED_VALUE"""),429.0)</f>
        <v>429</v>
      </c>
      <c r="B430" s="6" t="str">
        <f>IFERROR(__xludf.DUMMYFUNCTION("""COMPUTED_VALUE"""),"Analisis Tingkat Brand Awareness Masyarakat Sukoharjo terhadap Produk Multivitamin Renovit pada PT Konimex")</f>
        <v>Analisis Tingkat Brand Awareness Masyarakat Sukoharjo terhadap Produk Multivitamin Renovit pada PT Konimex</v>
      </c>
      <c r="C430" s="7">
        <f>IFERROR(__xludf.DUMMYFUNCTION("""COMPUTED_VALUE"""),2022.0)</f>
        <v>2022</v>
      </c>
      <c r="D430" s="8" t="str">
        <f>IFERROR(__xludf.DUMMYFUNCTION("""COMPUTED_VALUE"""),"2021/2022")</f>
        <v>2021/2022</v>
      </c>
      <c r="E430" s="9">
        <f>IFERROR(__xludf.DUMMYFUNCTION("""COMPUTED_VALUE"""),44742.0)</f>
        <v>44742</v>
      </c>
      <c r="F430" s="5" t="str">
        <f>IFERROR(__xludf.DUMMYFUNCTION("""COMPUTED_VALUE"""),"Genap")</f>
        <v>Genap</v>
      </c>
      <c r="G430" s="5" t="str">
        <f>IFERROR(__xludf.DUMMYFUNCTION("""COMPUTED_VALUE"""),"Manajemen")</f>
        <v>Manajemen</v>
      </c>
      <c r="H430" s="10" t="str">
        <f>IFERROR(__xludf.DUMMYFUNCTION("""COMPUTED_VALUE"""),"Mahasiswa")</f>
        <v>Mahasiswa</v>
      </c>
      <c r="I430" s="6" t="str">
        <f>IFERROR(__xludf.DUMMYFUNCTION("""COMPUTED_VALUE"""),"Yuliana Sinta Saputri")</f>
        <v>Yuliana Sinta Saputri</v>
      </c>
      <c r="J430" s="6" t="str">
        <f>IFERROR(__xludf.DUMMYFUNCTION("""COMPUTED_VALUE"""),"Aditya Liliyan")</f>
        <v>Aditya Liliyan</v>
      </c>
      <c r="K430" s="6"/>
      <c r="L430" s="6"/>
      <c r="M430" s="6"/>
      <c r="N430" s="6"/>
      <c r="O430" s="6"/>
      <c r="P430" s="10" t="str">
        <f>IFERROR(__xludf.DUMMYFUNCTION("""COMPUTED_VALUE"""),"Yuliana Sinta Saputri,Aditya Liliyan,,")</f>
        <v>Yuliana Sinta Saputri,Aditya Liliyan,,</v>
      </c>
      <c r="Q430" s="11" t="str">
        <f>IFERROR(__xludf.DUMMYFUNCTION("""COMPUTED_VALUE"""),"https://www.researchgate.net/publication/367587166_Analisis_Tingkat_Brand_Awareness_Masyarakat_Sukoharjo_terhadap_Produk_Multivitamin_Renovit_pada_PT_Konimex")</f>
        <v>https://www.researchgate.net/publication/367587166_Analisis_Tingkat_Brand_Awareness_Masyarakat_Sukoharjo_terhadap_Produk_Multivitamin_Renovit_pada_PT_Konimex</v>
      </c>
      <c r="R430" s="6"/>
    </row>
    <row r="431">
      <c r="A431" s="5">
        <f>IFERROR(__xludf.DUMMYFUNCTION("""COMPUTED_VALUE"""),430.0)</f>
        <v>430</v>
      </c>
      <c r="B431" s="6" t="str">
        <f>IFERROR(__xludf.DUMMYFUNCTION("""COMPUTED_VALUE"""),"Model Manajemen Masjid Transformatif Bagi Masyarakat Di Masa Pandemi Covid-19” Dengan Mitra Masjid Ostium Regency Kartasura")</f>
        <v>Model Manajemen Masjid Transformatif Bagi Masyarakat Di Masa Pandemi Covid-19” Dengan Mitra Masjid Ostium Regency Kartasura</v>
      </c>
      <c r="C431" s="7">
        <f>IFERROR(__xludf.DUMMYFUNCTION("""COMPUTED_VALUE"""),2022.0)</f>
        <v>2022</v>
      </c>
      <c r="D431" s="8" t="str">
        <f>IFERROR(__xludf.DUMMYFUNCTION("""COMPUTED_VALUE"""),"2021/2022")</f>
        <v>2021/2022</v>
      </c>
      <c r="E431" s="9">
        <f>IFERROR(__xludf.DUMMYFUNCTION("""COMPUTED_VALUE"""),44742.0)</f>
        <v>44742</v>
      </c>
      <c r="F431" s="5" t="str">
        <f>IFERROR(__xludf.DUMMYFUNCTION("""COMPUTED_VALUE"""),"Genap")</f>
        <v>Genap</v>
      </c>
      <c r="G431" s="5" t="str">
        <f>IFERROR(__xludf.DUMMYFUNCTION("""COMPUTED_VALUE"""),"Akuntansi")</f>
        <v>Akuntansi</v>
      </c>
      <c r="H431" s="10" t="str">
        <f>IFERROR(__xludf.DUMMYFUNCTION("""COMPUTED_VALUE"""),"Mahasiswa")</f>
        <v>Mahasiswa</v>
      </c>
      <c r="I431" s="6" t="str">
        <f>IFERROR(__xludf.DUMMYFUNCTION("""COMPUTED_VALUE"""),"Asep Maulana Rohimat")</f>
        <v>Asep Maulana Rohimat</v>
      </c>
      <c r="J431" s="6" t="str">
        <f>IFERROR(__xludf.DUMMYFUNCTION("""COMPUTED_VALUE"""),"Rosyid Nur Anggara Putra")</f>
        <v>Rosyid Nur Anggara Putra</v>
      </c>
      <c r="K431" s="6" t="str">
        <f>IFERROR(__xludf.DUMMYFUNCTION("""COMPUTED_VALUE"""),"Nur Kholis")</f>
        <v>Nur Kholis</v>
      </c>
      <c r="L431" s="6" t="str">
        <f>IFERROR(__xludf.DUMMYFUNCTION("""COMPUTED_VALUE"""),"Istanto")</f>
        <v>Istanto</v>
      </c>
      <c r="M431" s="6"/>
      <c r="N431" s="6"/>
      <c r="O431" s="6"/>
      <c r="P431" s="10" t="str">
        <f>IFERROR(__xludf.DUMMYFUNCTION("""COMPUTED_VALUE"""),"Asep Maulana Rohimat,Rosyid Nur Anggara Putra,Nur Kholis,Istanto")</f>
        <v>Asep Maulana Rohimat,Rosyid Nur Anggara Putra,Nur Kholis,Istanto</v>
      </c>
      <c r="Q431" s="11" t="str">
        <f>IFERROR(__xludf.DUMMYFUNCTION("""COMPUTED_VALUE"""),"https://garuda.kemdikbud.go.id/documents/detail/2884455")</f>
        <v>https://garuda.kemdikbud.go.id/documents/detail/2884455</v>
      </c>
      <c r="R431" s="6"/>
    </row>
    <row r="432">
      <c r="A432" s="5">
        <f>IFERROR(__xludf.DUMMYFUNCTION("""COMPUTED_VALUE"""),431.0)</f>
        <v>431</v>
      </c>
      <c r="B432" s="6" t="str">
        <f>IFERROR(__xludf.DUMMYFUNCTION("""COMPUTED_VALUE"""),"Analisis Hubungan Intellectual Capital dan Struktur Modal (Studi Pada Perbankan Syariah di BEI Selama Masa Pandemi Covid 19)")</f>
        <v>Analisis Hubungan Intellectual Capital dan Struktur Modal (Studi Pada Perbankan Syariah di BEI Selama Masa Pandemi Covid 19)</v>
      </c>
      <c r="C432" s="7">
        <f>IFERROR(__xludf.DUMMYFUNCTION("""COMPUTED_VALUE"""),2022.0)</f>
        <v>2022</v>
      </c>
      <c r="D432" s="8" t="str">
        <f>IFERROR(__xludf.DUMMYFUNCTION("""COMPUTED_VALUE"""),"2021/2022")</f>
        <v>2021/2022</v>
      </c>
      <c r="E432" s="9">
        <f>IFERROR(__xludf.DUMMYFUNCTION("""COMPUTED_VALUE"""),44742.0)</f>
        <v>44742</v>
      </c>
      <c r="F432" s="5" t="str">
        <f>IFERROR(__xludf.DUMMYFUNCTION("""COMPUTED_VALUE"""),"Genap")</f>
        <v>Genap</v>
      </c>
      <c r="G432" s="5" t="str">
        <f>IFERROR(__xludf.DUMMYFUNCTION("""COMPUTED_VALUE"""),"Akuntansi")</f>
        <v>Akuntansi</v>
      </c>
      <c r="H432" s="10" t="str">
        <f>IFERROR(__xludf.DUMMYFUNCTION("""COMPUTED_VALUE"""),"Dosen")</f>
        <v>Dosen</v>
      </c>
      <c r="I432" s="6" t="str">
        <f>IFERROR(__xludf.DUMMYFUNCTION("""COMPUTED_VALUE"""),"Rosita")</f>
        <v>Rosita</v>
      </c>
      <c r="J432" s="6" t="str">
        <f>IFERROR(__xludf.DUMMYFUNCTION("""COMPUTED_VALUE"""),"Fatlina Zainudin")</f>
        <v>Fatlina Zainudin</v>
      </c>
      <c r="K432" s="6"/>
      <c r="L432" s="6"/>
      <c r="M432" s="6"/>
      <c r="N432" s="6"/>
      <c r="O432" s="6"/>
      <c r="P432" s="10" t="str">
        <f>IFERROR(__xludf.DUMMYFUNCTION("""COMPUTED_VALUE"""),"Rosita,Fatlina Zainudin,,")</f>
        <v>Rosita,Fatlina Zainudin,,</v>
      </c>
      <c r="Q432" s="11" t="str">
        <f>IFERROR(__xludf.DUMMYFUNCTION("""COMPUTED_VALUE"""),"https://ulilalbabinstitute.id/index.php/EKOMA/article/view/595")</f>
        <v>https://ulilalbabinstitute.id/index.php/EKOMA/article/view/595</v>
      </c>
      <c r="R432" s="6"/>
    </row>
    <row r="433">
      <c r="A433" s="5">
        <f>IFERROR(__xludf.DUMMYFUNCTION("""COMPUTED_VALUE"""),432.0)</f>
        <v>432</v>
      </c>
      <c r="B433" s="6" t="str">
        <f>IFERROR(__xludf.DUMMYFUNCTION("""COMPUTED_VALUE"""),"The Role Of Founders In The Sustainability Of Family Businesses In Indonesia")</f>
        <v>The Role Of Founders In The Sustainability Of Family Businesses In Indonesia</v>
      </c>
      <c r="C433" s="7">
        <f>IFERROR(__xludf.DUMMYFUNCTION("""COMPUTED_VALUE"""),2022.0)</f>
        <v>2022</v>
      </c>
      <c r="D433" s="8" t="str">
        <f>IFERROR(__xludf.DUMMYFUNCTION("""COMPUTED_VALUE"""),"2021/2022")</f>
        <v>2021/2022</v>
      </c>
      <c r="E433" s="9">
        <f>IFERROR(__xludf.DUMMYFUNCTION("""COMPUTED_VALUE"""),44743.0)</f>
        <v>44743</v>
      </c>
      <c r="F433" s="5" t="str">
        <f>IFERROR(__xludf.DUMMYFUNCTION("""COMPUTED_VALUE"""),"Genap")</f>
        <v>Genap</v>
      </c>
      <c r="G433" s="5" t="str">
        <f>IFERROR(__xludf.DUMMYFUNCTION("""COMPUTED_VALUE"""),"Manajemen")</f>
        <v>Manajemen</v>
      </c>
      <c r="H433" s="10" t="str">
        <f>IFERROR(__xludf.DUMMYFUNCTION("""COMPUTED_VALUE"""),"Mahasiswa")</f>
        <v>Mahasiswa</v>
      </c>
      <c r="I433" s="6" t="str">
        <f>IFERROR(__xludf.DUMMYFUNCTION("""COMPUTED_VALUE"""),"Istianti")</f>
        <v>Istianti</v>
      </c>
      <c r="J433" s="6" t="str">
        <f>IFERROR(__xludf.DUMMYFUNCTION("""COMPUTED_VALUE"""),"Ari Susanti")</f>
        <v>Ari Susanti</v>
      </c>
      <c r="K433" s="6" t="str">
        <f>IFERROR(__xludf.DUMMYFUNCTION("""COMPUTED_VALUE"""),"Fithri Setya Marwati")</f>
        <v>Fithri Setya Marwati</v>
      </c>
      <c r="L433" s="6"/>
      <c r="M433" s="6"/>
      <c r="N433" s="6"/>
      <c r="O433" s="6"/>
      <c r="P433" s="10" t="str">
        <f>IFERROR(__xludf.DUMMYFUNCTION("""COMPUTED_VALUE"""),"Istianti,Ari Susanti,Fithri Setya Marwati,")</f>
        <v>Istianti,Ari Susanti,Fithri Setya Marwati,</v>
      </c>
      <c r="Q433" s="11" t="str">
        <f>IFERROR(__xludf.DUMMYFUNCTION("""COMPUTED_VALUE"""),"https://drive.google.com/file/d/1RGiNF3ARp2ppjk6JDl2JgfG5I0nQ-LWH/view")</f>
        <v>https://drive.google.com/file/d/1RGiNF3ARp2ppjk6JDl2JgfG5I0nQ-LWH/view</v>
      </c>
      <c r="R433" s="6"/>
    </row>
    <row r="434">
      <c r="A434" s="5">
        <f>IFERROR(__xludf.DUMMYFUNCTION("""COMPUTED_VALUE"""),433.0)</f>
        <v>433</v>
      </c>
      <c r="B434" s="6" t="str">
        <f>IFERROR(__xludf.DUMMYFUNCTION("""COMPUTED_VALUE"""),"Analisis Kinerja Individu Karyawan Bagian Pembukuan Pt. Batik Keris")</f>
        <v>Analisis Kinerja Individu Karyawan Bagian Pembukuan Pt. Batik Keris</v>
      </c>
      <c r="C434" s="7">
        <f>IFERROR(__xludf.DUMMYFUNCTION("""COMPUTED_VALUE"""),2022.0)</f>
        <v>2022</v>
      </c>
      <c r="D434" s="8" t="str">
        <f>IFERROR(__xludf.DUMMYFUNCTION("""COMPUTED_VALUE"""),"2021/2022")</f>
        <v>2021/2022</v>
      </c>
      <c r="E434" s="9">
        <f>IFERROR(__xludf.DUMMYFUNCTION("""COMPUTED_VALUE"""),44748.0)</f>
        <v>44748</v>
      </c>
      <c r="F434" s="5" t="str">
        <f>IFERROR(__xludf.DUMMYFUNCTION("""COMPUTED_VALUE"""),"Genap")</f>
        <v>Genap</v>
      </c>
      <c r="G434" s="5" t="str">
        <f>IFERROR(__xludf.DUMMYFUNCTION("""COMPUTED_VALUE"""),"Akuntansi")</f>
        <v>Akuntansi</v>
      </c>
      <c r="H434" s="10" t="str">
        <f>IFERROR(__xludf.DUMMYFUNCTION("""COMPUTED_VALUE"""),"Mahasiswa")</f>
        <v>Mahasiswa</v>
      </c>
      <c r="I434" s="6" t="str">
        <f>IFERROR(__xludf.DUMMYFUNCTION("""COMPUTED_VALUE"""),"Mery Rahmawati")</f>
        <v>Mery Rahmawati</v>
      </c>
      <c r="J434" s="6" t="str">
        <f>IFERROR(__xludf.DUMMYFUNCTION("""COMPUTED_VALUE"""),"Astuning Saharsini")</f>
        <v>Astuning Saharsini</v>
      </c>
      <c r="K434" s="6"/>
      <c r="L434" s="6"/>
      <c r="M434" s="6"/>
      <c r="N434" s="6"/>
      <c r="O434" s="6"/>
      <c r="P434" s="10" t="str">
        <f>IFERROR(__xludf.DUMMYFUNCTION("""COMPUTED_VALUE"""),"Mery Rahmawati,Astuning Saharsini,,")</f>
        <v>Mery Rahmawati,Astuning Saharsini,,</v>
      </c>
      <c r="Q434" s="11" t="str">
        <f>IFERROR(__xludf.DUMMYFUNCTION("""COMPUTED_VALUE"""),"https://ejournal.pelitaindonesia.ac.id/ojs32/index.php/KURS/article/view/2018")</f>
        <v>https://ejournal.pelitaindonesia.ac.id/ojs32/index.php/KURS/article/view/2018</v>
      </c>
      <c r="R434" s="6"/>
    </row>
    <row r="435">
      <c r="A435" s="5">
        <f>IFERROR(__xludf.DUMMYFUNCTION("""COMPUTED_VALUE"""),434.0)</f>
        <v>434</v>
      </c>
      <c r="B435" s="6" t="str">
        <f>IFERROR(__xludf.DUMMYFUNCTION("""COMPUTED_VALUE"""),"DETERMINASI LOYALITAS KARYAWAN (SWASTA) GENERASI MILENIAL DI KOTA SURAKARTA")</f>
        <v>DETERMINASI LOYALITAS KARYAWAN (SWASTA) GENERASI MILENIAL DI KOTA SURAKARTA</v>
      </c>
      <c r="C435" s="7">
        <f>IFERROR(__xludf.DUMMYFUNCTION("""COMPUTED_VALUE"""),2022.0)</f>
        <v>2022</v>
      </c>
      <c r="D435" s="8" t="str">
        <f>IFERROR(__xludf.DUMMYFUNCTION("""COMPUTED_VALUE"""),"2021/2022")</f>
        <v>2021/2022</v>
      </c>
      <c r="E435" s="9">
        <f>IFERROR(__xludf.DUMMYFUNCTION("""COMPUTED_VALUE"""),44754.0)</f>
        <v>44754</v>
      </c>
      <c r="F435" s="5" t="str">
        <f>IFERROR(__xludf.DUMMYFUNCTION("""COMPUTED_VALUE"""),"Genap")</f>
        <v>Genap</v>
      </c>
      <c r="G435" s="5" t="str">
        <f>IFERROR(__xludf.DUMMYFUNCTION("""COMPUTED_VALUE"""),"Manajemen")</f>
        <v>Manajemen</v>
      </c>
      <c r="H435" s="10" t="str">
        <f>IFERROR(__xludf.DUMMYFUNCTION("""COMPUTED_VALUE"""),"Mahasiswa")</f>
        <v>Mahasiswa</v>
      </c>
      <c r="I435" s="6" t="str">
        <f>IFERROR(__xludf.DUMMYFUNCTION("""COMPUTED_VALUE"""),"Rachmadita Nur Isanti")</f>
        <v>Rachmadita Nur Isanti</v>
      </c>
      <c r="J435" s="6" t="str">
        <f>IFERROR(__xludf.DUMMYFUNCTION("""COMPUTED_VALUE"""),"Ida Ayu Kade")</f>
        <v>Ida Ayu Kade</v>
      </c>
      <c r="K435" s="6"/>
      <c r="L435" s="6"/>
      <c r="M435" s="6"/>
      <c r="N435" s="6"/>
      <c r="O435" s="6"/>
      <c r="P435" s="10" t="str">
        <f>IFERROR(__xludf.DUMMYFUNCTION("""COMPUTED_VALUE"""),"Rachmadita Nur Isanti,Ida Ayu Kade,,")</f>
        <v>Rachmadita Nur Isanti,Ida Ayu Kade,,</v>
      </c>
      <c r="Q435" s="11" t="str">
        <f>IFERROR(__xludf.DUMMYFUNCTION("""COMPUTED_VALUE"""),"https://jurnal.pancabudi.ac.id/index.php/jepa/article/view/4176")</f>
        <v>https://jurnal.pancabudi.ac.id/index.php/jepa/article/view/4176</v>
      </c>
      <c r="R435" s="6"/>
    </row>
    <row r="436">
      <c r="A436" s="5">
        <f>IFERROR(__xludf.DUMMYFUNCTION("""COMPUTED_VALUE"""),435.0)</f>
        <v>435</v>
      </c>
      <c r="B436" s="6" t="str">
        <f>IFERROR(__xludf.DUMMYFUNCTION("""COMPUTED_VALUE"""),"FAKTOR YANG MEMPENGARUHI KEPATUHAN PAJAK UMKM DI SOLO RAYA")</f>
        <v>FAKTOR YANG MEMPENGARUHI KEPATUHAN PAJAK UMKM DI SOLO RAYA</v>
      </c>
      <c r="C436" s="7">
        <f>IFERROR(__xludf.DUMMYFUNCTION("""COMPUTED_VALUE"""),2022.0)</f>
        <v>2022</v>
      </c>
      <c r="D436" s="8" t="str">
        <f>IFERROR(__xludf.DUMMYFUNCTION("""COMPUTED_VALUE"""),"2021/2022")</f>
        <v>2021/2022</v>
      </c>
      <c r="E436" s="9">
        <f>IFERROR(__xludf.DUMMYFUNCTION("""COMPUTED_VALUE"""),44756.0)</f>
        <v>44756</v>
      </c>
      <c r="F436" s="5" t="str">
        <f>IFERROR(__xludf.DUMMYFUNCTION("""COMPUTED_VALUE"""),"Genap")</f>
        <v>Genap</v>
      </c>
      <c r="G436" s="5" t="str">
        <f>IFERROR(__xludf.DUMMYFUNCTION("""COMPUTED_VALUE"""),"Akuntansi")</f>
        <v>Akuntansi</v>
      </c>
      <c r="H436" s="10" t="str">
        <f>IFERROR(__xludf.DUMMYFUNCTION("""COMPUTED_VALUE"""),"Mahasiswa")</f>
        <v>Mahasiswa</v>
      </c>
      <c r="I436" s="6" t="str">
        <f>IFERROR(__xludf.DUMMYFUNCTION("""COMPUTED_VALUE"""),"Widya Putri Purwanto")</f>
        <v>Widya Putri Purwanto</v>
      </c>
      <c r="J436" s="6" t="str">
        <f>IFERROR(__xludf.DUMMYFUNCTION("""COMPUTED_VALUE"""),"Nur Kholis")</f>
        <v>Nur Kholis</v>
      </c>
      <c r="K436" s="6"/>
      <c r="L436" s="6"/>
      <c r="M436" s="6"/>
      <c r="N436" s="6"/>
      <c r="O436" s="6"/>
      <c r="P436" s="10" t="str">
        <f>IFERROR(__xludf.DUMMYFUNCTION("""COMPUTED_VALUE"""),"Widya Putri Purwanto,Nur Kholis,,")</f>
        <v>Widya Putri Purwanto,Nur Kholis,,</v>
      </c>
      <c r="Q436" s="11" t="str">
        <f>IFERROR(__xludf.DUMMYFUNCTION("""COMPUTED_VALUE"""),"https://journal.uniba.ac.id/index.php/PSD/article/view/341/219")</f>
        <v>https://journal.uniba.ac.id/index.php/PSD/article/view/341/219</v>
      </c>
      <c r="R436" s="6"/>
    </row>
    <row r="437">
      <c r="A437" s="5">
        <f>IFERROR(__xludf.DUMMYFUNCTION("""COMPUTED_VALUE"""),436.0)</f>
        <v>436</v>
      </c>
      <c r="B437" s="6" t="str">
        <f>IFERROR(__xludf.DUMMYFUNCTION("""COMPUTED_VALUE"""),"PENGARUH UKURAN PERUSAHAAN, LEVERAGE, SALES GROWTH, PROFITABILITAS TERHADAP TAX AVOIDANCE PADA PERUSAHAAN YANG TERDAFTAR DI BURSA EFEK INDONESIA (BEI)")</f>
        <v>PENGARUH UKURAN PERUSAHAAN, LEVERAGE, SALES GROWTH, PROFITABILITAS TERHADAP TAX AVOIDANCE PADA PERUSAHAAN YANG TERDAFTAR DI BURSA EFEK INDONESIA (BEI)</v>
      </c>
      <c r="C437" s="7">
        <f>IFERROR(__xludf.DUMMYFUNCTION("""COMPUTED_VALUE"""),2022.0)</f>
        <v>2022</v>
      </c>
      <c r="D437" s="8" t="str">
        <f>IFERROR(__xludf.DUMMYFUNCTION("""COMPUTED_VALUE"""),"2021/2022")</f>
        <v>2021/2022</v>
      </c>
      <c r="E437" s="9">
        <f>IFERROR(__xludf.DUMMYFUNCTION("""COMPUTED_VALUE"""),44756.0)</f>
        <v>44756</v>
      </c>
      <c r="F437" s="5" t="str">
        <f>IFERROR(__xludf.DUMMYFUNCTION("""COMPUTED_VALUE"""),"Genap")</f>
        <v>Genap</v>
      </c>
      <c r="G437" s="5" t="str">
        <f>IFERROR(__xludf.DUMMYFUNCTION("""COMPUTED_VALUE"""),"Akuntansi")</f>
        <v>Akuntansi</v>
      </c>
      <c r="H437" s="10" t="str">
        <f>IFERROR(__xludf.DUMMYFUNCTION("""COMPUTED_VALUE"""),"Mahasiswa")</f>
        <v>Mahasiswa</v>
      </c>
      <c r="I437" s="6" t="str">
        <f>IFERROR(__xludf.DUMMYFUNCTION("""COMPUTED_VALUE"""),"Erna Diyastuti")</f>
        <v>Erna Diyastuti</v>
      </c>
      <c r="J437" s="6" t="str">
        <f>IFERROR(__xludf.DUMMYFUNCTION("""COMPUTED_VALUE"""),"Nur Kholis")</f>
        <v>Nur Kholis</v>
      </c>
      <c r="K437" s="6"/>
      <c r="L437" s="6"/>
      <c r="M437" s="6"/>
      <c r="N437" s="6"/>
      <c r="O437" s="6"/>
      <c r="P437" s="10" t="str">
        <f>IFERROR(__xludf.DUMMYFUNCTION("""COMPUTED_VALUE"""),"Erna Diyastuti,Nur Kholis,,")</f>
        <v>Erna Diyastuti,Nur Kholis,,</v>
      </c>
      <c r="Q437" s="11" t="str">
        <f>IFERROR(__xludf.DUMMYFUNCTION("""COMPUTED_VALUE"""),"https://journal.uniba.ac.id/index.php/PSD/search/index?query=PENGARUH+UKURAN+PERUSAHAAN%2C+LEVERAGE%2C+SALES+GROWTH%2C+PROFITABILITAS+TERHADAP+TAX+AVOIDANCE+PADA+PERUSAHAAN+YANG+TERDAFTAR+DI+BURSA+EFEK+INDONESIA+%28BEI%29&amp;dateFromYear=&amp;dateFromMonth=&amp;date"&amp;"FromDay=&amp;dateToYear=&amp;dateToMonth=&amp;dateToDay=&amp;authors=")</f>
        <v>https://journal.uniba.ac.id/index.php/PSD/search/index?query=PENGARUH+UKURAN+PERUSAHAAN%2C+LEVERAGE%2C+SALES+GROWTH%2C+PROFITABILITAS+TERHADAP+TAX+AVOIDANCE+PADA+PERUSAHAAN+YANG+TERDAFTAR+DI+BURSA+EFEK+INDONESIA+%28BEI%29&amp;dateFromYear=&amp;dateFromMonth=&amp;dateFromDay=&amp;dateToYear=&amp;dateToMonth=&amp;dateToDay=&amp;authors=</v>
      </c>
      <c r="R437" s="6"/>
    </row>
    <row r="438">
      <c r="A438" s="5">
        <f>IFERROR(__xludf.DUMMYFUNCTION("""COMPUTED_VALUE"""),437.0)</f>
        <v>437</v>
      </c>
      <c r="B438" s="6" t="str">
        <f>IFERROR(__xludf.DUMMYFUNCTION("""COMPUTED_VALUE"""),"DAMPAK PELAYANAN SAMSAT KELILING TERHADAP KEPATUHAN WAJIB PAJAK KENDARAAN BERMOTOR DI KABUPATEN SURAKARTA")</f>
        <v>DAMPAK PELAYANAN SAMSAT KELILING TERHADAP KEPATUHAN WAJIB PAJAK KENDARAAN BERMOTOR DI KABUPATEN SURAKARTA</v>
      </c>
      <c r="C438" s="7">
        <f>IFERROR(__xludf.DUMMYFUNCTION("""COMPUTED_VALUE"""),2022.0)</f>
        <v>2022</v>
      </c>
      <c r="D438" s="8" t="str">
        <f>IFERROR(__xludf.DUMMYFUNCTION("""COMPUTED_VALUE"""),"2021/2022")</f>
        <v>2021/2022</v>
      </c>
      <c r="E438" s="9">
        <f>IFERROR(__xludf.DUMMYFUNCTION("""COMPUTED_VALUE"""),44756.0)</f>
        <v>44756</v>
      </c>
      <c r="F438" s="5" t="str">
        <f>IFERROR(__xludf.DUMMYFUNCTION("""COMPUTED_VALUE"""),"Genap")</f>
        <v>Genap</v>
      </c>
      <c r="G438" s="5" t="str">
        <f>IFERROR(__xludf.DUMMYFUNCTION("""COMPUTED_VALUE"""),"Akuntansi")</f>
        <v>Akuntansi</v>
      </c>
      <c r="H438" s="10" t="str">
        <f>IFERROR(__xludf.DUMMYFUNCTION("""COMPUTED_VALUE"""),"Mahasiswa")</f>
        <v>Mahasiswa</v>
      </c>
      <c r="I438" s="6" t="str">
        <f>IFERROR(__xludf.DUMMYFUNCTION("""COMPUTED_VALUE"""),"Selva Dwi Cahya")</f>
        <v>Selva Dwi Cahya</v>
      </c>
      <c r="J438" s="6" t="str">
        <f>IFERROR(__xludf.DUMMYFUNCTION("""COMPUTED_VALUE"""),"Ismunawan")</f>
        <v>Ismunawan</v>
      </c>
      <c r="K438" s="6"/>
      <c r="L438" s="6"/>
      <c r="M438" s="6"/>
      <c r="N438" s="6"/>
      <c r="O438" s="6"/>
      <c r="P438" s="10" t="str">
        <f>IFERROR(__xludf.DUMMYFUNCTION("""COMPUTED_VALUE"""),"Selva Dwi Cahya,Ismunawan,,")</f>
        <v>Selva Dwi Cahya,Ismunawan,,</v>
      </c>
      <c r="Q438" s="11" t="str">
        <f>IFERROR(__xludf.DUMMYFUNCTION("""COMPUTED_VALUE"""),"https://journal.uniba.ac.id/index.php/PSD/article/view/343/284")</f>
        <v>https://journal.uniba.ac.id/index.php/PSD/article/view/343/284</v>
      </c>
      <c r="R438" s="6"/>
    </row>
    <row r="439">
      <c r="A439" s="5">
        <f>IFERROR(__xludf.DUMMYFUNCTION("""COMPUTED_VALUE"""),438.0)</f>
        <v>438</v>
      </c>
      <c r="B439" s="6" t="str">
        <f>IFERROR(__xludf.DUMMYFUNCTION("""COMPUTED_VALUE"""),"SISTEM INFORMASI AKUNTANSI PEMBELIAN SPAREPART PADA PT. ADETEX BOYOLALI")</f>
        <v>SISTEM INFORMASI AKUNTANSI PEMBELIAN SPAREPART PADA PT. ADETEX BOYOLALI</v>
      </c>
      <c r="C439" s="7">
        <f>IFERROR(__xludf.DUMMYFUNCTION("""COMPUTED_VALUE"""),2022.0)</f>
        <v>2022</v>
      </c>
      <c r="D439" s="8" t="str">
        <f>IFERROR(__xludf.DUMMYFUNCTION("""COMPUTED_VALUE"""),"2021/2022")</f>
        <v>2021/2022</v>
      </c>
      <c r="E439" s="9">
        <f>IFERROR(__xludf.DUMMYFUNCTION("""COMPUTED_VALUE"""),44756.0)</f>
        <v>44756</v>
      </c>
      <c r="F439" s="5" t="str">
        <f>IFERROR(__xludf.DUMMYFUNCTION("""COMPUTED_VALUE"""),"Genap")</f>
        <v>Genap</v>
      </c>
      <c r="G439" s="5" t="str">
        <f>IFERROR(__xludf.DUMMYFUNCTION("""COMPUTED_VALUE"""),"Akuntansi")</f>
        <v>Akuntansi</v>
      </c>
      <c r="H439" s="10" t="str">
        <f>IFERROR(__xludf.DUMMYFUNCTION("""COMPUTED_VALUE"""),"Mahasiswa")</f>
        <v>Mahasiswa</v>
      </c>
      <c r="I439" s="6" t="str">
        <f>IFERROR(__xludf.DUMMYFUNCTION("""COMPUTED_VALUE"""),"Tri Erita Kusumaningsih")</f>
        <v>Tri Erita Kusumaningsih</v>
      </c>
      <c r="J439" s="6" t="str">
        <f>IFERROR(__xludf.DUMMYFUNCTION("""COMPUTED_VALUE"""),"Ismunawan")</f>
        <v>Ismunawan</v>
      </c>
      <c r="K439" s="6"/>
      <c r="L439" s="6"/>
      <c r="M439" s="6"/>
      <c r="N439" s="6"/>
      <c r="O439" s="6"/>
      <c r="P439" s="10" t="str">
        <f>IFERROR(__xludf.DUMMYFUNCTION("""COMPUTED_VALUE"""),"Tri Erita Kusumaningsih,Ismunawan,,")</f>
        <v>Tri Erita Kusumaningsih,Ismunawan,,</v>
      </c>
      <c r="Q439" s="11" t="str">
        <f>IFERROR(__xludf.DUMMYFUNCTION("""COMPUTED_VALUE"""),"https://drive.google.com/file/d/1Q6M5mvzyNTgieaNfRq_E5Sgb-OpyO_j9/view?usp=drive_link")</f>
        <v>https://drive.google.com/file/d/1Q6M5mvzyNTgieaNfRq_E5Sgb-OpyO_j9/view?usp=drive_link</v>
      </c>
      <c r="R439" s="6"/>
    </row>
    <row r="440">
      <c r="A440" s="5">
        <f>IFERROR(__xludf.DUMMYFUNCTION("""COMPUTED_VALUE"""),439.0)</f>
        <v>439</v>
      </c>
      <c r="B440" s="6" t="str">
        <f>IFERROR(__xludf.DUMMYFUNCTION("""COMPUTED_VALUE"""),"PENGARUH KINERJA KEUANGAN, PROFITABILITAS, GOOD CORPORATE GOVERNANCE DAN KEBIJAKAN DIVIDEN TERHADAP NILAI PERUSAHAAN MINUMAN DAN MAKANAN")</f>
        <v>PENGARUH KINERJA KEUANGAN, PROFITABILITAS, GOOD CORPORATE GOVERNANCE DAN KEBIJAKAN DIVIDEN TERHADAP NILAI PERUSAHAAN MINUMAN DAN MAKANAN</v>
      </c>
      <c r="C440" s="7">
        <f>IFERROR(__xludf.DUMMYFUNCTION("""COMPUTED_VALUE"""),2022.0)</f>
        <v>2022</v>
      </c>
      <c r="D440" s="8" t="str">
        <f>IFERROR(__xludf.DUMMYFUNCTION("""COMPUTED_VALUE"""),"2021/2022")</f>
        <v>2021/2022</v>
      </c>
      <c r="E440" s="9">
        <f>IFERROR(__xludf.DUMMYFUNCTION("""COMPUTED_VALUE"""),44756.0)</f>
        <v>44756</v>
      </c>
      <c r="F440" s="5" t="str">
        <f>IFERROR(__xludf.DUMMYFUNCTION("""COMPUTED_VALUE"""),"Genap")</f>
        <v>Genap</v>
      </c>
      <c r="G440" s="5" t="str">
        <f>IFERROR(__xludf.DUMMYFUNCTION("""COMPUTED_VALUE"""),"Akuntansi")</f>
        <v>Akuntansi</v>
      </c>
      <c r="H440" s="10" t="str">
        <f>IFERROR(__xludf.DUMMYFUNCTION("""COMPUTED_VALUE"""),"Mahasiswa")</f>
        <v>Mahasiswa</v>
      </c>
      <c r="I440" s="6" t="str">
        <f>IFERROR(__xludf.DUMMYFUNCTION("""COMPUTED_VALUE"""),"Inge Octavidiani Withiono")</f>
        <v>Inge Octavidiani Withiono</v>
      </c>
      <c r="J440" s="6" t="str">
        <f>IFERROR(__xludf.DUMMYFUNCTION("""COMPUTED_VALUE"""),"Ismunawan")</f>
        <v>Ismunawan</v>
      </c>
      <c r="K440" s="6"/>
      <c r="L440" s="6"/>
      <c r="M440" s="6"/>
      <c r="N440" s="6"/>
      <c r="O440" s="6"/>
      <c r="P440" s="10" t="str">
        <f>IFERROR(__xludf.DUMMYFUNCTION("""COMPUTED_VALUE"""),"Inge Octavidiani Withiono,Ismunawan,,")</f>
        <v>Inge Octavidiani Withiono,Ismunawan,,</v>
      </c>
      <c r="Q440" s="11" t="str">
        <f>IFERROR(__xludf.DUMMYFUNCTION("""COMPUTED_VALUE"""),"https://drive.google.com/file/d/1VQmUt2xXN8RLvr1sbOKXD8ma6Y0BmXzJ/view?usp=sharing")</f>
        <v>https://drive.google.com/file/d/1VQmUt2xXN8RLvr1sbOKXD8ma6Y0BmXzJ/view?usp=sharing</v>
      </c>
      <c r="R440" s="6"/>
    </row>
    <row r="441">
      <c r="A441" s="5">
        <f>IFERROR(__xludf.DUMMYFUNCTION("""COMPUTED_VALUE"""),440.0)</f>
        <v>440</v>
      </c>
      <c r="B441" s="6" t="str">
        <f>IFERROR(__xludf.DUMMYFUNCTION("""COMPUTED_VALUE"""),"Analisis Faktor-Faktor Yang Mempengaruhi Kinerja Keuangan UMKM Di Sukoharjo")</f>
        <v>Analisis Faktor-Faktor Yang Mempengaruhi Kinerja Keuangan UMKM Di Sukoharjo</v>
      </c>
      <c r="C441" s="7">
        <f>IFERROR(__xludf.DUMMYFUNCTION("""COMPUTED_VALUE"""),2022.0)</f>
        <v>2022</v>
      </c>
      <c r="D441" s="8" t="str">
        <f>IFERROR(__xludf.DUMMYFUNCTION("""COMPUTED_VALUE"""),"2021/2022")</f>
        <v>2021/2022</v>
      </c>
      <c r="E441" s="9">
        <f>IFERROR(__xludf.DUMMYFUNCTION("""COMPUTED_VALUE"""),44756.0)</f>
        <v>44756</v>
      </c>
      <c r="F441" s="5" t="str">
        <f>IFERROR(__xludf.DUMMYFUNCTION("""COMPUTED_VALUE"""),"Genap")</f>
        <v>Genap</v>
      </c>
      <c r="G441" s="5" t="str">
        <f>IFERROR(__xludf.DUMMYFUNCTION("""COMPUTED_VALUE"""),"Akuntansi")</f>
        <v>Akuntansi</v>
      </c>
      <c r="H441" s="10" t="str">
        <f>IFERROR(__xludf.DUMMYFUNCTION("""COMPUTED_VALUE"""),"Mahasiswa")</f>
        <v>Mahasiswa</v>
      </c>
      <c r="I441" s="6" t="str">
        <f>IFERROR(__xludf.DUMMYFUNCTION("""COMPUTED_VALUE"""),"Lia Septiana")</f>
        <v>Lia Septiana</v>
      </c>
      <c r="J441" s="6" t="str">
        <f>IFERROR(__xludf.DUMMYFUNCTION("""COMPUTED_VALUE"""),"Pardi")</f>
        <v>Pardi</v>
      </c>
      <c r="K441" s="6"/>
      <c r="L441" s="6"/>
      <c r="M441" s="6"/>
      <c r="N441" s="6"/>
      <c r="O441" s="6"/>
      <c r="P441" s="10" t="str">
        <f>IFERROR(__xludf.DUMMYFUNCTION("""COMPUTED_VALUE"""),"Lia Septiana,Pardi,,")</f>
        <v>Lia Septiana,Pardi,,</v>
      </c>
      <c r="Q441" s="11" t="str">
        <f>IFERROR(__xludf.DUMMYFUNCTION("""COMPUTED_VALUE"""),"https://www.journal.uniba.ac.id/index.php/PSD/article/view/340")</f>
        <v>https://www.journal.uniba.ac.id/index.php/PSD/article/view/340</v>
      </c>
      <c r="R441" s="6"/>
    </row>
    <row r="442">
      <c r="A442" s="5">
        <f>IFERROR(__xludf.DUMMYFUNCTION("""COMPUTED_VALUE"""),441.0)</f>
        <v>441</v>
      </c>
      <c r="B442" s="6" t="str">
        <f>IFERROR(__xludf.DUMMYFUNCTION("""COMPUTED_VALUE"""),"Strategi Branding Pada Sarana Umkm Naik Kelas")</f>
        <v>Strategi Branding Pada Sarana Umkm Naik Kelas</v>
      </c>
      <c r="C442" s="7">
        <f>IFERROR(__xludf.DUMMYFUNCTION("""COMPUTED_VALUE"""),2022.0)</f>
        <v>2022</v>
      </c>
      <c r="D442" s="8" t="str">
        <f>IFERROR(__xludf.DUMMYFUNCTION("""COMPUTED_VALUE"""),"2021/2022")</f>
        <v>2021/2022</v>
      </c>
      <c r="E442" s="9">
        <f>IFERROR(__xludf.DUMMYFUNCTION("""COMPUTED_VALUE"""),44756.0)</f>
        <v>44756</v>
      </c>
      <c r="F442" s="5" t="str">
        <f>IFERROR(__xludf.DUMMYFUNCTION("""COMPUTED_VALUE"""),"Genap")</f>
        <v>Genap</v>
      </c>
      <c r="G442" s="5" t="str">
        <f>IFERROR(__xludf.DUMMYFUNCTION("""COMPUTED_VALUE"""),"Manajemen")</f>
        <v>Manajemen</v>
      </c>
      <c r="H442" s="10" t="str">
        <f>IFERROR(__xludf.DUMMYFUNCTION("""COMPUTED_VALUE"""),"Dosen")</f>
        <v>Dosen</v>
      </c>
      <c r="I442" s="6" t="str">
        <f>IFERROR(__xludf.DUMMYFUNCTION("""COMPUTED_VALUE"""),"Budi Istiyanto")</f>
        <v>Budi Istiyanto</v>
      </c>
      <c r="J442" s="6"/>
      <c r="K442" s="6"/>
      <c r="L442" s="6"/>
      <c r="M442" s="6"/>
      <c r="N442" s="6"/>
      <c r="O442" s="6"/>
      <c r="P442" s="10" t="str">
        <f>IFERROR(__xludf.DUMMYFUNCTION("""COMPUTED_VALUE"""),"Budi Istiyanto,,,")</f>
        <v>Budi Istiyanto,,,</v>
      </c>
      <c r="Q442" s="11" t="str">
        <f>IFERROR(__xludf.DUMMYFUNCTION("""COMPUTED_VALUE"""),"https://docs.google.com/document/d/16hN2K4I6QK8L7Ixr75wotXMxd0TqKrfo/edit?usp=sharing&amp;ouid=113741177560435037779&amp;rtpof=true&amp;sd=true")</f>
        <v>https://docs.google.com/document/d/16hN2K4I6QK8L7Ixr75wotXMxd0TqKrfo/edit?usp=sharing&amp;ouid=113741177560435037779&amp;rtpof=true&amp;sd=true</v>
      </c>
      <c r="R442" s="6"/>
    </row>
    <row r="443">
      <c r="A443" s="5">
        <f>IFERROR(__xludf.DUMMYFUNCTION("""COMPUTED_VALUE"""),442.0)</f>
        <v>442</v>
      </c>
      <c r="B443" s="6" t="str">
        <f>IFERROR(__xludf.DUMMYFUNCTION("""COMPUTED_VALUE"""),"Strategi Perencanaan Keuangan Pada Umkm Aria Mebel")</f>
        <v>Strategi Perencanaan Keuangan Pada Umkm Aria Mebel</v>
      </c>
      <c r="C443" s="7">
        <f>IFERROR(__xludf.DUMMYFUNCTION("""COMPUTED_VALUE"""),2022.0)</f>
        <v>2022</v>
      </c>
      <c r="D443" s="8" t="str">
        <f>IFERROR(__xludf.DUMMYFUNCTION("""COMPUTED_VALUE"""),"2021/2022")</f>
        <v>2021/2022</v>
      </c>
      <c r="E443" s="9">
        <f>IFERROR(__xludf.DUMMYFUNCTION("""COMPUTED_VALUE"""),44756.0)</f>
        <v>44756</v>
      </c>
      <c r="F443" s="5" t="str">
        <f>IFERROR(__xludf.DUMMYFUNCTION("""COMPUTED_VALUE"""),"Genap")</f>
        <v>Genap</v>
      </c>
      <c r="G443" s="5" t="str">
        <f>IFERROR(__xludf.DUMMYFUNCTION("""COMPUTED_VALUE"""),"Manajemen")</f>
        <v>Manajemen</v>
      </c>
      <c r="H443" s="10" t="str">
        <f>IFERROR(__xludf.DUMMYFUNCTION("""COMPUTED_VALUE"""),"Dosen")</f>
        <v>Dosen</v>
      </c>
      <c r="I443" s="6" t="str">
        <f>IFERROR(__xludf.DUMMYFUNCTION("""COMPUTED_VALUE"""),"Ari Susanti")</f>
        <v>Ari Susanti</v>
      </c>
      <c r="J443" s="6"/>
      <c r="K443" s="6"/>
      <c r="L443" s="6"/>
      <c r="M443" s="6"/>
      <c r="N443" s="6"/>
      <c r="O443" s="6"/>
      <c r="P443" s="10" t="str">
        <f>IFERROR(__xludf.DUMMYFUNCTION("""COMPUTED_VALUE"""),"Ari Susanti,,,")</f>
        <v>Ari Susanti,,,</v>
      </c>
      <c r="Q443" s="11" t="str">
        <f>IFERROR(__xludf.DUMMYFUNCTION("""COMPUTED_VALUE"""),"https://docs.google.com/document/d/1Aa8slL8uR8gmYOlBlDmKQ2AvOv-Im5ah/edit?usp=drive_link&amp;ouid=113741177560435037779&amp;rtpof=true&amp;sd=true")</f>
        <v>https://docs.google.com/document/d/1Aa8slL8uR8gmYOlBlDmKQ2AvOv-Im5ah/edit?usp=drive_link&amp;ouid=113741177560435037779&amp;rtpof=true&amp;sd=true</v>
      </c>
      <c r="R443" s="6"/>
    </row>
    <row r="444">
      <c r="A444" s="5">
        <f>IFERROR(__xludf.DUMMYFUNCTION("""COMPUTED_VALUE"""),443.0)</f>
        <v>443</v>
      </c>
      <c r="B444" s="6" t="str">
        <f>IFERROR(__xludf.DUMMYFUNCTION("""COMPUTED_VALUE"""),"Mengevaluasi Kemampuan Umkm Mebel Studi Kasus Pada Dody Mebel Surakarta")</f>
        <v>Mengevaluasi Kemampuan Umkm Mebel Studi Kasus Pada Dody Mebel Surakarta</v>
      </c>
      <c r="C444" s="7">
        <f>IFERROR(__xludf.DUMMYFUNCTION("""COMPUTED_VALUE"""),2022.0)</f>
        <v>2022</v>
      </c>
      <c r="D444" s="8" t="str">
        <f>IFERROR(__xludf.DUMMYFUNCTION("""COMPUTED_VALUE"""),"2021/2022")</f>
        <v>2021/2022</v>
      </c>
      <c r="E444" s="9">
        <f>IFERROR(__xludf.DUMMYFUNCTION("""COMPUTED_VALUE"""),44756.0)</f>
        <v>44756</v>
      </c>
      <c r="F444" s="5" t="str">
        <f>IFERROR(__xludf.DUMMYFUNCTION("""COMPUTED_VALUE"""),"Genap")</f>
        <v>Genap</v>
      </c>
      <c r="G444" s="5" t="str">
        <f>IFERROR(__xludf.DUMMYFUNCTION("""COMPUTED_VALUE"""),"Akuntansi")</f>
        <v>Akuntansi</v>
      </c>
      <c r="H444" s="10" t="str">
        <f>IFERROR(__xludf.DUMMYFUNCTION("""COMPUTED_VALUE"""),"Dosen")</f>
        <v>Dosen</v>
      </c>
      <c r="I444" s="6" t="str">
        <f>IFERROR(__xludf.DUMMYFUNCTION("""COMPUTED_VALUE"""),"Arif Farida")</f>
        <v>Arif Farida</v>
      </c>
      <c r="J444" s="6" t="str">
        <f>IFERROR(__xludf.DUMMYFUNCTION("""COMPUTED_VALUE"""),"Era Trianita Saputra")</f>
        <v>Era Trianita Saputra</v>
      </c>
      <c r="K444" s="6" t="str">
        <f>IFERROR(__xludf.DUMMYFUNCTION("""COMPUTED_VALUE"""),"Beti Apriyanti")</f>
        <v>Beti Apriyanti</v>
      </c>
      <c r="L444" s="6"/>
      <c r="M444" s="6"/>
      <c r="N444" s="6"/>
      <c r="O444" s="6"/>
      <c r="P444" s="10" t="str">
        <f>IFERROR(__xludf.DUMMYFUNCTION("""COMPUTED_VALUE"""),"Arif Farida,Era Trianita Saputra,Beti Apriyanti,")</f>
        <v>Arif Farida,Era Trianita Saputra,Beti Apriyanti,</v>
      </c>
      <c r="Q444" s="11" t="str">
        <f>IFERROR(__xludf.DUMMYFUNCTION("""COMPUTED_VALUE"""),"https://docs.google.com/document/d/1UQFMS98QI4xCya3oB64Oj4QLEoxbFJ3X/edit?usp=sharing&amp;ouid=113741177560435037779&amp;rtpof=true&amp;sd=true")</f>
        <v>https://docs.google.com/document/d/1UQFMS98QI4xCya3oB64Oj4QLEoxbFJ3X/edit?usp=sharing&amp;ouid=113741177560435037779&amp;rtpof=true&amp;sd=true</v>
      </c>
      <c r="R444" s="6"/>
    </row>
    <row r="445">
      <c r="A445" s="5">
        <f>IFERROR(__xludf.DUMMYFUNCTION("""COMPUTED_VALUE"""),444.0)</f>
        <v>444</v>
      </c>
      <c r="B445" s="6" t="str">
        <f>IFERROR(__xludf.DUMMYFUNCTION("""COMPUTED_VALUE"""),"Penerapan Strategi Wa Bisnis Sebagai Penunjang Digital Marketing Pada Umkm Lestari Mebel")</f>
        <v>Penerapan Strategi Wa Bisnis Sebagai Penunjang Digital Marketing Pada Umkm Lestari Mebel</v>
      </c>
      <c r="C445" s="7">
        <f>IFERROR(__xludf.DUMMYFUNCTION("""COMPUTED_VALUE"""),2022.0)</f>
        <v>2022</v>
      </c>
      <c r="D445" s="8" t="str">
        <f>IFERROR(__xludf.DUMMYFUNCTION("""COMPUTED_VALUE"""),"2021/2022")</f>
        <v>2021/2022</v>
      </c>
      <c r="E445" s="9">
        <f>IFERROR(__xludf.DUMMYFUNCTION("""COMPUTED_VALUE"""),44756.0)</f>
        <v>44756</v>
      </c>
      <c r="F445" s="5" t="str">
        <f>IFERROR(__xludf.DUMMYFUNCTION("""COMPUTED_VALUE"""),"Genap")</f>
        <v>Genap</v>
      </c>
      <c r="G445" s="5" t="str">
        <f>IFERROR(__xludf.DUMMYFUNCTION("""COMPUTED_VALUE"""),"Manajemen")</f>
        <v>Manajemen</v>
      </c>
      <c r="H445" s="10" t="str">
        <f>IFERROR(__xludf.DUMMYFUNCTION("""COMPUTED_VALUE"""),"Dosen")</f>
        <v>Dosen</v>
      </c>
      <c r="I445" s="6" t="str">
        <f>IFERROR(__xludf.DUMMYFUNCTION("""COMPUTED_VALUE"""),"Putri Maisara")</f>
        <v>Putri Maisara</v>
      </c>
      <c r="J445" s="6"/>
      <c r="K445" s="6"/>
      <c r="L445" s="6"/>
      <c r="M445" s="6"/>
      <c r="N445" s="6"/>
      <c r="O445" s="6"/>
      <c r="P445" s="10" t="str">
        <f>IFERROR(__xludf.DUMMYFUNCTION("""COMPUTED_VALUE"""),"Putri Maisara,,,")</f>
        <v>Putri Maisara,,,</v>
      </c>
      <c r="Q445" s="11" t="str">
        <f>IFERROR(__xludf.DUMMYFUNCTION("""COMPUTED_VALUE"""),"https://docs.google.com/document/d/1qW206DjNuxPwVPqwN7CTODDGFu2oE9bN/edit?usp=sharing&amp;ouid=113741177560435037779&amp;rtpof=true&amp;sd=true")</f>
        <v>https://docs.google.com/document/d/1qW206DjNuxPwVPqwN7CTODDGFu2oE9bN/edit?usp=sharing&amp;ouid=113741177560435037779&amp;rtpof=true&amp;sd=true</v>
      </c>
      <c r="R445" s="6"/>
    </row>
    <row r="446">
      <c r="A446" s="5">
        <f>IFERROR(__xludf.DUMMYFUNCTION("""COMPUTED_VALUE"""),445.0)</f>
        <v>445</v>
      </c>
      <c r="B446" s="6" t="str">
        <f>IFERROR(__xludf.DUMMYFUNCTION("""COMPUTED_VALUE"""),"Dorong UMKM Sukoharjo Naik Kelas")</f>
        <v>Dorong UMKM Sukoharjo Naik Kelas</v>
      </c>
      <c r="C446" s="7">
        <f>IFERROR(__xludf.DUMMYFUNCTION("""COMPUTED_VALUE"""),2022.0)</f>
        <v>2022</v>
      </c>
      <c r="D446" s="8" t="str">
        <f>IFERROR(__xludf.DUMMYFUNCTION("""COMPUTED_VALUE"""),"2021/2022")</f>
        <v>2021/2022</v>
      </c>
      <c r="E446" s="9">
        <f>IFERROR(__xludf.DUMMYFUNCTION("""COMPUTED_VALUE"""),44756.0)</f>
        <v>44756</v>
      </c>
      <c r="F446" s="5" t="str">
        <f>IFERROR(__xludf.DUMMYFUNCTION("""COMPUTED_VALUE"""),"Genap")</f>
        <v>Genap</v>
      </c>
      <c r="G446" s="5" t="str">
        <f>IFERROR(__xludf.DUMMYFUNCTION("""COMPUTED_VALUE"""),"Manajemen")</f>
        <v>Manajemen</v>
      </c>
      <c r="H446" s="10" t="str">
        <f>IFERROR(__xludf.DUMMYFUNCTION("""COMPUTED_VALUE"""),"Dosen")</f>
        <v>Dosen</v>
      </c>
      <c r="I446" s="6" t="str">
        <f>IFERROR(__xludf.DUMMYFUNCTION("""COMPUTED_VALUE"""),"Budi Istiyanto")</f>
        <v>Budi Istiyanto</v>
      </c>
      <c r="J446" s="6"/>
      <c r="K446" s="6"/>
      <c r="L446" s="6"/>
      <c r="M446" s="6"/>
      <c r="N446" s="6"/>
      <c r="O446" s="6"/>
      <c r="P446" s="10" t="str">
        <f>IFERROR(__xludf.DUMMYFUNCTION("""COMPUTED_VALUE"""),"Budi Istiyanto,,,")</f>
        <v>Budi Istiyanto,,,</v>
      </c>
      <c r="Q446" s="11" t="str">
        <f>IFERROR(__xludf.DUMMYFUNCTION("""COMPUTED_VALUE"""),"https://docs.google.com/document/d/1JlnX9QgNdfxo04ZVYp_WmP4bbgr80j_o/edit?usp=drive_link&amp;ouid=113741177560435037779&amp;rtpof=true&amp;sd=true")</f>
        <v>https://docs.google.com/document/d/1JlnX9QgNdfxo04ZVYp_WmP4bbgr80j_o/edit?usp=drive_link&amp;ouid=113741177560435037779&amp;rtpof=true&amp;sd=true</v>
      </c>
      <c r="R446" s="6"/>
    </row>
    <row r="447">
      <c r="A447" s="5">
        <f>IFERROR(__xludf.DUMMYFUNCTION("""COMPUTED_VALUE"""),446.0)</f>
        <v>446</v>
      </c>
      <c r="B447" s="6" t="str">
        <f>IFERROR(__xludf.DUMMYFUNCTION("""COMPUTED_VALUE"""),"Branding Untuk Umkm Berkerjasama Dengan Binus
")</f>
        <v>Branding Untuk Umkm Berkerjasama Dengan Binus
</v>
      </c>
      <c r="C447" s="7">
        <f>IFERROR(__xludf.DUMMYFUNCTION("""COMPUTED_VALUE"""),2022.0)</f>
        <v>2022</v>
      </c>
      <c r="D447" s="8" t="str">
        <f>IFERROR(__xludf.DUMMYFUNCTION("""COMPUTED_VALUE"""),"2021/2022")</f>
        <v>2021/2022</v>
      </c>
      <c r="E447" s="9">
        <f>IFERROR(__xludf.DUMMYFUNCTION("""COMPUTED_VALUE"""),44756.0)</f>
        <v>44756</v>
      </c>
      <c r="F447" s="5" t="str">
        <f>IFERROR(__xludf.DUMMYFUNCTION("""COMPUTED_VALUE"""),"Genap")</f>
        <v>Genap</v>
      </c>
      <c r="G447" s="5" t="str">
        <f>IFERROR(__xludf.DUMMYFUNCTION("""COMPUTED_VALUE"""),"Manajemen")</f>
        <v>Manajemen</v>
      </c>
      <c r="H447" s="10" t="str">
        <f>IFERROR(__xludf.DUMMYFUNCTION("""COMPUTED_VALUE"""),"Dosen")</f>
        <v>Dosen</v>
      </c>
      <c r="I447" s="6" t="str">
        <f>IFERROR(__xludf.DUMMYFUNCTION("""COMPUTED_VALUE"""),"Ginanjar Rahmawan")</f>
        <v>Ginanjar Rahmawan</v>
      </c>
      <c r="J447" s="6"/>
      <c r="K447" s="6"/>
      <c r="L447" s="6"/>
      <c r="M447" s="6"/>
      <c r="N447" s="6"/>
      <c r="O447" s="6"/>
      <c r="P447" s="10" t="str">
        <f>IFERROR(__xludf.DUMMYFUNCTION("""COMPUTED_VALUE"""),"Ginanjar Rahmawan,,,")</f>
        <v>Ginanjar Rahmawan,,,</v>
      </c>
      <c r="Q447" s="6" t="str">
        <f>IFERROR(__xludf.DUMMYFUNCTION("""COMPUTED_VALUE"""),"-")</f>
        <v>-</v>
      </c>
      <c r="R447" s="6"/>
    </row>
    <row r="448">
      <c r="A448" s="5">
        <f>IFERROR(__xludf.DUMMYFUNCTION("""COMPUTED_VALUE"""),447.0)</f>
        <v>447</v>
      </c>
      <c r="B448" s="6" t="str">
        <f>IFERROR(__xludf.DUMMYFUNCTION("""COMPUTED_VALUE"""),"Pelatihan Perhitungan Persediaan Dan Pembukuan Sederhana Untuk UMKM Di Pokdarwis Manua Tirta Ponggok Polanharjo Klaten")</f>
        <v>Pelatihan Perhitungan Persediaan Dan Pembukuan Sederhana Untuk UMKM Di Pokdarwis Manua Tirta Ponggok Polanharjo Klaten</v>
      </c>
      <c r="C448" s="7">
        <f>IFERROR(__xludf.DUMMYFUNCTION("""COMPUTED_VALUE"""),2022.0)</f>
        <v>2022</v>
      </c>
      <c r="D448" s="8" t="str">
        <f>IFERROR(__xludf.DUMMYFUNCTION("""COMPUTED_VALUE"""),"2021/2022")</f>
        <v>2021/2022</v>
      </c>
      <c r="E448" s="9">
        <f>IFERROR(__xludf.DUMMYFUNCTION("""COMPUTED_VALUE"""),44764.0)</f>
        <v>44764</v>
      </c>
      <c r="F448" s="5" t="str">
        <f>IFERROR(__xludf.DUMMYFUNCTION("""COMPUTED_VALUE"""),"Genap")</f>
        <v>Genap</v>
      </c>
      <c r="G448" s="5" t="str">
        <f>IFERROR(__xludf.DUMMYFUNCTION("""COMPUTED_VALUE"""),"Akuntansi")</f>
        <v>Akuntansi</v>
      </c>
      <c r="H448" s="10" t="str">
        <f>IFERROR(__xludf.DUMMYFUNCTION("""COMPUTED_VALUE"""),"Dosen")</f>
        <v>Dosen</v>
      </c>
      <c r="I448" s="6" t="str">
        <f>IFERROR(__xludf.DUMMYFUNCTION("""COMPUTED_VALUE"""),"Arif Farida")</f>
        <v>Arif Farida</v>
      </c>
      <c r="J448" s="6" t="str">
        <f>IFERROR(__xludf.DUMMYFUNCTION("""COMPUTED_VALUE"""),"Tri Ratna Pamikatsih")</f>
        <v>Tri Ratna Pamikatsih</v>
      </c>
      <c r="K448" s="6" t="str">
        <f>IFERROR(__xludf.DUMMYFUNCTION("""COMPUTED_VALUE"""),"Atik Lusia")</f>
        <v>Atik Lusia</v>
      </c>
      <c r="L448" s="6"/>
      <c r="M448" s="6"/>
      <c r="N448" s="6"/>
      <c r="O448" s="6"/>
      <c r="P448" s="10" t="str">
        <f>IFERROR(__xludf.DUMMYFUNCTION("""COMPUTED_VALUE"""),"Arif Farida,Tri Ratna Pamikatsih,Atik Lusia,")</f>
        <v>Arif Farida,Tri Ratna Pamikatsih,Atik Lusia,</v>
      </c>
      <c r="Q448" s="6" t="str">
        <f>IFERROR(__xludf.DUMMYFUNCTION("""COMPUTED_VALUE"""),"EC00202246885")</f>
        <v>EC00202246885</v>
      </c>
      <c r="R448" s="11" t="str">
        <f>IFERROR(__xludf.DUMMYFUNCTION("""COMPUTED_VALUE"""),"https://ejournal.unikama.ac.id/index.php/jrma/article/view/6711")</f>
        <v>https://ejournal.unikama.ac.id/index.php/jrma/article/view/6711</v>
      </c>
    </row>
    <row r="449">
      <c r="A449" s="5">
        <f>IFERROR(__xludf.DUMMYFUNCTION("""COMPUTED_VALUE"""),448.0)</f>
        <v>448</v>
      </c>
      <c r="B449" s="6" t="str">
        <f>IFERROR(__xludf.DUMMYFUNCTION("""COMPUTED_VALUE"""),"Pelatihan Dan Pendampingan Informasi Keuangan Bagi UMKM Iswara Food")</f>
        <v>Pelatihan Dan Pendampingan Informasi Keuangan Bagi UMKM Iswara Food</v>
      </c>
      <c r="C449" s="7">
        <f>IFERROR(__xludf.DUMMYFUNCTION("""COMPUTED_VALUE"""),2022.0)</f>
        <v>2022</v>
      </c>
      <c r="D449" s="8" t="str">
        <f>IFERROR(__xludf.DUMMYFUNCTION("""COMPUTED_VALUE"""),"2021/2022")</f>
        <v>2021/2022</v>
      </c>
      <c r="E449" s="9">
        <f>IFERROR(__xludf.DUMMYFUNCTION("""COMPUTED_VALUE"""),44764.0)</f>
        <v>44764</v>
      </c>
      <c r="F449" s="5" t="str">
        <f>IFERROR(__xludf.DUMMYFUNCTION("""COMPUTED_VALUE"""),"Genap")</f>
        <v>Genap</v>
      </c>
      <c r="G449" s="5" t="str">
        <f>IFERROR(__xludf.DUMMYFUNCTION("""COMPUTED_VALUE"""),"Akuntansi")</f>
        <v>Akuntansi</v>
      </c>
      <c r="H449" s="10" t="str">
        <f>IFERROR(__xludf.DUMMYFUNCTION("""COMPUTED_VALUE"""),"Dosen")</f>
        <v>Dosen</v>
      </c>
      <c r="I449" s="6" t="str">
        <f>IFERROR(__xludf.DUMMYFUNCTION("""COMPUTED_VALUE"""),"Astuning Saharsini")</f>
        <v>Astuning Saharsini</v>
      </c>
      <c r="J449" s="6" t="str">
        <f>IFERROR(__xludf.DUMMYFUNCTION("""COMPUTED_VALUE"""),"Ari Susanti")</f>
        <v>Ari Susanti</v>
      </c>
      <c r="K449" s="6" t="str">
        <f>IFERROR(__xludf.DUMMYFUNCTION("""COMPUTED_VALUE"""),"Nur Kholis")</f>
        <v>Nur Kholis</v>
      </c>
      <c r="L449" s="6" t="str">
        <f>IFERROR(__xludf.DUMMYFUNCTION("""COMPUTED_VALUE"""),"Ida Ayu Kade")</f>
        <v>Ida Ayu Kade</v>
      </c>
      <c r="M449" s="6"/>
      <c r="N449" s="6"/>
      <c r="O449" s="6"/>
      <c r="P449" s="10" t="str">
        <f>IFERROR(__xludf.DUMMYFUNCTION("""COMPUTED_VALUE"""),"Astuning Saharsini,Ari Susanti,Nur Kholis,Ida Ayu Kade")</f>
        <v>Astuning Saharsini,Ari Susanti,Nur Kholis,Ida Ayu Kade</v>
      </c>
      <c r="Q449" s="11" t="str">
        <f>IFERROR(__xludf.DUMMYFUNCTION("""COMPUTED_VALUE"""),"https://drive.google.com/file/d/1A5pZgYxWWT5aVKSBygNc2t6WY1Q19dDO/view?usp=drive_link")</f>
        <v>https://drive.google.com/file/d/1A5pZgYxWWT5aVKSBygNc2t6WY1Q19dDO/view?usp=drive_link</v>
      </c>
      <c r="R449" s="11" t="str">
        <f>IFERROR(__xludf.DUMMYFUNCTION("""COMPUTED_VALUE"""),"https://bengawan.poltekindonusa.ac.id/index.php/jurnal_bengawan/article/view/52")</f>
        <v>https://bengawan.poltekindonusa.ac.id/index.php/jurnal_bengawan/article/view/52</v>
      </c>
    </row>
    <row r="450">
      <c r="A450" s="5">
        <f>IFERROR(__xludf.DUMMYFUNCTION("""COMPUTED_VALUE"""),449.0)</f>
        <v>449</v>
      </c>
      <c r="B450" s="6" t="str">
        <f>IFERROR(__xludf.DUMMYFUNCTION("""COMPUTED_VALUE"""),"Pengaruh Persepsi Owner, Pemahaman, Pengetahuan Dan Penerapan Sistem Informasi Akuntansi Terhadap Kinerja Umkm Di Beteng Trade Center (BTC) Solo")</f>
        <v>Pengaruh Persepsi Owner, Pemahaman, Pengetahuan Dan Penerapan Sistem Informasi Akuntansi Terhadap Kinerja Umkm Di Beteng Trade Center (BTC) Solo</v>
      </c>
      <c r="C450" s="7">
        <f>IFERROR(__xludf.DUMMYFUNCTION("""COMPUTED_VALUE"""),2022.0)</f>
        <v>2022</v>
      </c>
      <c r="D450" s="8" t="str">
        <f>IFERROR(__xludf.DUMMYFUNCTION("""COMPUTED_VALUE"""),"2021/2022")</f>
        <v>2021/2022</v>
      </c>
      <c r="E450" s="9">
        <f>IFERROR(__xludf.DUMMYFUNCTION("""COMPUTED_VALUE"""),44764.0)</f>
        <v>44764</v>
      </c>
      <c r="F450" s="5" t="str">
        <f>IFERROR(__xludf.DUMMYFUNCTION("""COMPUTED_VALUE"""),"Genap")</f>
        <v>Genap</v>
      </c>
      <c r="G450" s="5" t="str">
        <f>IFERROR(__xludf.DUMMYFUNCTION("""COMPUTED_VALUE"""),"Akuntansi")</f>
        <v>Akuntansi</v>
      </c>
      <c r="H450" s="10" t="str">
        <f>IFERROR(__xludf.DUMMYFUNCTION("""COMPUTED_VALUE"""),"Mahasiswa")</f>
        <v>Mahasiswa</v>
      </c>
      <c r="I450" s="6" t="str">
        <f>IFERROR(__xludf.DUMMYFUNCTION("""COMPUTED_VALUE"""),"Caroline Winda Meylani")</f>
        <v>Caroline Winda Meylani</v>
      </c>
      <c r="J450" s="6" t="str">
        <f>IFERROR(__xludf.DUMMYFUNCTION("""COMPUTED_VALUE"""),"Ismunawan")</f>
        <v>Ismunawan</v>
      </c>
      <c r="K450" s="6"/>
      <c r="L450" s="6"/>
      <c r="M450" s="6"/>
      <c r="N450" s="6"/>
      <c r="O450" s="6"/>
      <c r="P450" s="10" t="str">
        <f>IFERROR(__xludf.DUMMYFUNCTION("""COMPUTED_VALUE"""),"Caroline Winda Meylani,Ismunawan,,")</f>
        <v>Caroline Winda Meylani,Ismunawan,,</v>
      </c>
      <c r="Q450" s="11" t="str">
        <f>IFERROR(__xludf.DUMMYFUNCTION("""COMPUTED_VALUE"""),"https://drive.google.com/file/d/18-g0gjPiFhJeeEhhJ9Zy0JY3HoZ2KV5U/view?usp=sharing")</f>
        <v>https://drive.google.com/file/d/18-g0gjPiFhJeeEhhJ9Zy0JY3HoZ2KV5U/view?usp=sharing</v>
      </c>
      <c r="R450" s="11" t="str">
        <f>IFERROR(__xludf.DUMMYFUNCTION("""COMPUTED_VALUE"""),"https://ejournal.unikama.ac.id/index.php/jrma/article/view/6711")</f>
        <v>https://ejournal.unikama.ac.id/index.php/jrma/article/view/6711</v>
      </c>
    </row>
    <row r="451">
      <c r="A451" s="5">
        <f>IFERROR(__xludf.DUMMYFUNCTION("""COMPUTED_VALUE"""),450.0)</f>
        <v>450</v>
      </c>
      <c r="B451" s="6" t="str">
        <f>IFERROR(__xludf.DUMMYFUNCTION("""COMPUTED_VALUE"""),"Pengaruh Promosi, Harga, Kualitas Produk, Dan Citra Merek Terhadap Keputusan Pembelian Alat Rumah Tangga")</f>
        <v>Pengaruh Promosi, Harga, Kualitas Produk, Dan Citra Merek Terhadap Keputusan Pembelian Alat Rumah Tangga</v>
      </c>
      <c r="C451" s="7">
        <f>IFERROR(__xludf.DUMMYFUNCTION("""COMPUTED_VALUE"""),2022.0)</f>
        <v>2022</v>
      </c>
      <c r="D451" s="8" t="str">
        <f>IFERROR(__xludf.DUMMYFUNCTION("""COMPUTED_VALUE"""),"2021/2022")</f>
        <v>2021/2022</v>
      </c>
      <c r="E451" s="9">
        <f>IFERROR(__xludf.DUMMYFUNCTION("""COMPUTED_VALUE"""),44767.0)</f>
        <v>44767</v>
      </c>
      <c r="F451" s="5" t="str">
        <f>IFERROR(__xludf.DUMMYFUNCTION("""COMPUTED_VALUE"""),"Genap")</f>
        <v>Genap</v>
      </c>
      <c r="G451" s="5" t="str">
        <f>IFERROR(__xludf.DUMMYFUNCTION("""COMPUTED_VALUE"""),"Manajemen")</f>
        <v>Manajemen</v>
      </c>
      <c r="H451" s="10" t="str">
        <f>IFERROR(__xludf.DUMMYFUNCTION("""COMPUTED_VALUE"""),"Mahasiswa")</f>
        <v>Mahasiswa</v>
      </c>
      <c r="I451" s="6" t="str">
        <f>IFERROR(__xludf.DUMMYFUNCTION("""COMPUTED_VALUE"""),"Della Sylfia")</f>
        <v>Della Sylfia</v>
      </c>
      <c r="J451" s="6" t="str">
        <f>IFERROR(__xludf.DUMMYFUNCTION("""COMPUTED_VALUE"""),"Heny Kurnianingsih")</f>
        <v>Heny Kurnianingsih</v>
      </c>
      <c r="K451" s="6"/>
      <c r="L451" s="6"/>
      <c r="M451" s="6"/>
      <c r="N451" s="6"/>
      <c r="O451" s="6"/>
      <c r="P451" s="10" t="str">
        <f>IFERROR(__xludf.DUMMYFUNCTION("""COMPUTED_VALUE"""),"Della Sylfia,Heny Kurnianingsih,,")</f>
        <v>Della Sylfia,Heny Kurnianingsih,,</v>
      </c>
      <c r="Q451" s="11" t="str">
        <f>IFERROR(__xludf.DUMMYFUNCTION("""COMPUTED_VALUE"""),"https://jurnalfe.ustjogja.ac.id/index.php/ekobis/article/view/3040")</f>
        <v>https://jurnalfe.ustjogja.ac.id/index.php/ekobis/article/view/3040</v>
      </c>
      <c r="R451" s="6"/>
    </row>
    <row r="452">
      <c r="A452" s="5">
        <f>IFERROR(__xludf.DUMMYFUNCTION("""COMPUTED_VALUE"""),451.0)</f>
        <v>451</v>
      </c>
      <c r="B452" s="6" t="str">
        <f>IFERROR(__xludf.DUMMYFUNCTION("""COMPUTED_VALUE"""),"PENGARUH PROFITABILITAS DAN LEVERAGE PADA PAJAK PENGHASILAN BADAN DI PERUSAHAAN MANUFAKTUR 2020")</f>
        <v>PENGARUH PROFITABILITAS DAN LEVERAGE PADA PAJAK PENGHASILAN BADAN DI PERUSAHAAN MANUFAKTUR 2020</v>
      </c>
      <c r="C452" s="7">
        <f>IFERROR(__xludf.DUMMYFUNCTION("""COMPUTED_VALUE"""),2022.0)</f>
        <v>2022</v>
      </c>
      <c r="D452" s="8" t="str">
        <f>IFERROR(__xludf.DUMMYFUNCTION("""COMPUTED_VALUE"""),"2021/2022")</f>
        <v>2021/2022</v>
      </c>
      <c r="E452" s="9">
        <f>IFERROR(__xludf.DUMMYFUNCTION("""COMPUTED_VALUE"""),44771.0)</f>
        <v>44771</v>
      </c>
      <c r="F452" s="5" t="str">
        <f>IFERROR(__xludf.DUMMYFUNCTION("""COMPUTED_VALUE"""),"Genap")</f>
        <v>Genap</v>
      </c>
      <c r="G452" s="5" t="str">
        <f>IFERROR(__xludf.DUMMYFUNCTION("""COMPUTED_VALUE"""),"Akuntansi")</f>
        <v>Akuntansi</v>
      </c>
      <c r="H452" s="10" t="str">
        <f>IFERROR(__xludf.DUMMYFUNCTION("""COMPUTED_VALUE"""),"Mahasiswa")</f>
        <v>Mahasiswa</v>
      </c>
      <c r="I452" s="6" t="str">
        <f>IFERROR(__xludf.DUMMYFUNCTION("""COMPUTED_VALUE"""),"Nur Fitri Handayani")</f>
        <v>Nur Fitri Handayani</v>
      </c>
      <c r="J452" s="6" t="str">
        <f>IFERROR(__xludf.DUMMYFUNCTION("""COMPUTED_VALUE"""),"Nur Kholis")</f>
        <v>Nur Kholis</v>
      </c>
      <c r="K452" s="6"/>
      <c r="L452" s="6"/>
      <c r="M452" s="6"/>
      <c r="N452" s="6"/>
      <c r="O452" s="6"/>
      <c r="P452" s="10" t="str">
        <f>IFERROR(__xludf.DUMMYFUNCTION("""COMPUTED_VALUE"""),"Nur Fitri Handayani,Nur Kholis,,")</f>
        <v>Nur Fitri Handayani,Nur Kholis,,</v>
      </c>
      <c r="Q452" s="11" t="str">
        <f>IFERROR(__xludf.DUMMYFUNCTION("""COMPUTED_VALUE"""),"https://ejournal.uncen.ac.id/index.php/JAKED/article/view/2329")</f>
        <v>https://ejournal.uncen.ac.id/index.php/JAKED/article/view/2329</v>
      </c>
      <c r="R452" s="6"/>
    </row>
    <row r="453">
      <c r="A453" s="5">
        <f>IFERROR(__xludf.DUMMYFUNCTION("""COMPUTED_VALUE"""),452.0)</f>
        <v>452</v>
      </c>
      <c r="B453" s="6" t="str">
        <f>IFERROR(__xludf.DUMMYFUNCTION("""COMPUTED_VALUE"""),"PENGARUH CUSTOMER EXPERIENCE, EASY OF USE DAN CUSTOMER TRUST TERHADAP REPURCHASE INTENTIONSITUS JUAL BELI ONLINE SHOPEE DIKALANGAN MAHASISWA KOTA SURAKARTA")</f>
        <v>PENGARUH CUSTOMER EXPERIENCE, EASY OF USE DAN CUSTOMER TRUST TERHADAP REPURCHASE INTENTIONSITUS JUAL BELI ONLINE SHOPEE DIKALANGAN MAHASISWA KOTA SURAKARTA</v>
      </c>
      <c r="C453" s="7">
        <f>IFERROR(__xludf.DUMMYFUNCTION("""COMPUTED_VALUE"""),2022.0)</f>
        <v>2022</v>
      </c>
      <c r="D453" s="8" t="str">
        <f>IFERROR(__xludf.DUMMYFUNCTION("""COMPUTED_VALUE"""),"2021/2022")</f>
        <v>2021/2022</v>
      </c>
      <c r="E453" s="9">
        <f>IFERROR(__xludf.DUMMYFUNCTION("""COMPUTED_VALUE"""),44773.0)</f>
        <v>44773</v>
      </c>
      <c r="F453" s="5" t="str">
        <f>IFERROR(__xludf.DUMMYFUNCTION("""COMPUTED_VALUE"""),"Genap")</f>
        <v>Genap</v>
      </c>
      <c r="G453" s="5" t="str">
        <f>IFERROR(__xludf.DUMMYFUNCTION("""COMPUTED_VALUE"""),"Manajemen")</f>
        <v>Manajemen</v>
      </c>
      <c r="H453" s="10" t="str">
        <f>IFERROR(__xludf.DUMMYFUNCTION("""COMPUTED_VALUE"""),"Mahasiswa")</f>
        <v>Mahasiswa</v>
      </c>
      <c r="I453" s="6" t="str">
        <f>IFERROR(__xludf.DUMMYFUNCTION("""COMPUTED_VALUE"""),"Tya Verina")</f>
        <v>Tya Verina</v>
      </c>
      <c r="J453" s="6" t="str">
        <f>IFERROR(__xludf.DUMMYFUNCTION("""COMPUTED_VALUE"""),"Ari Susanti")</f>
        <v>Ari Susanti</v>
      </c>
      <c r="K453" s="6"/>
      <c r="L453" s="6"/>
      <c r="M453" s="6"/>
      <c r="N453" s="6"/>
      <c r="O453" s="6"/>
      <c r="P453" s="10" t="str">
        <f>IFERROR(__xludf.DUMMYFUNCTION("""COMPUTED_VALUE"""),"Tya Verina,Ari Susanti,,")</f>
        <v>Tya Verina,Ari Susanti,,</v>
      </c>
      <c r="Q453" s="11" t="str">
        <f>IFERROR(__xludf.DUMMYFUNCTION("""COMPUTED_VALUE"""),"https://journal.uin-alauddin.ac.id/index.php/eduleadership/article/view/29902")</f>
        <v>https://journal.uin-alauddin.ac.id/index.php/eduleadership/article/view/29902</v>
      </c>
      <c r="R453" s="6"/>
    </row>
    <row r="454">
      <c r="A454" s="5">
        <f>IFERROR(__xludf.DUMMYFUNCTION("""COMPUTED_VALUE"""),453.0)</f>
        <v>453</v>
      </c>
      <c r="B454" s="6" t="str">
        <f>IFERROR(__xludf.DUMMYFUNCTION("""COMPUTED_VALUE"""),"Analysis Of The Influence Of Brand Equity, Competition, Trust And Easy Of Transaction On Interest To Buy The Executive Product")</f>
        <v>Analysis Of The Influence Of Brand Equity, Competition, Trust And Easy Of Transaction On Interest To Buy The Executive Product</v>
      </c>
      <c r="C454" s="7">
        <f>IFERROR(__xludf.DUMMYFUNCTION("""COMPUTED_VALUE"""),2022.0)</f>
        <v>2022</v>
      </c>
      <c r="D454" s="8" t="str">
        <f>IFERROR(__xludf.DUMMYFUNCTION("""COMPUTED_VALUE"""),"2021/2022")</f>
        <v>2021/2022</v>
      </c>
      <c r="E454" s="9">
        <f>IFERROR(__xludf.DUMMYFUNCTION("""COMPUTED_VALUE"""),44780.0)</f>
        <v>44780</v>
      </c>
      <c r="F454" s="5" t="str">
        <f>IFERROR(__xludf.DUMMYFUNCTION("""COMPUTED_VALUE"""),"Genap")</f>
        <v>Genap</v>
      </c>
      <c r="G454" s="5" t="str">
        <f>IFERROR(__xludf.DUMMYFUNCTION("""COMPUTED_VALUE"""),"Manajemen")</f>
        <v>Manajemen</v>
      </c>
      <c r="H454" s="10" t="str">
        <f>IFERROR(__xludf.DUMMYFUNCTION("""COMPUTED_VALUE"""),"Mahasiswa")</f>
        <v>Mahasiswa</v>
      </c>
      <c r="I454" s="6" t="str">
        <f>IFERROR(__xludf.DUMMYFUNCTION("""COMPUTED_VALUE"""),"Sheli Nada Triningsih")</f>
        <v>Sheli Nada Triningsih</v>
      </c>
      <c r="J454" s="6" t="str">
        <f>IFERROR(__xludf.DUMMYFUNCTION("""COMPUTED_VALUE"""),"Ida Ayu Kade")</f>
        <v>Ida Ayu Kade</v>
      </c>
      <c r="K454" s="6"/>
      <c r="L454" s="6"/>
      <c r="M454" s="6"/>
      <c r="N454" s="6"/>
      <c r="O454" s="6"/>
      <c r="P454" s="10" t="str">
        <f>IFERROR(__xludf.DUMMYFUNCTION("""COMPUTED_VALUE"""),"Sheli Nada Triningsih,Ida Ayu Kade,,")</f>
        <v>Sheli Nada Triningsih,Ida Ayu Kade,,</v>
      </c>
      <c r="Q454" s="11" t="str">
        <f>IFERROR(__xludf.DUMMYFUNCTION("""COMPUTED_VALUE"""),"https://jurnalfe.ustjogja.ac.id/index.php/ekobis/article/view/3225")</f>
        <v>https://jurnalfe.ustjogja.ac.id/index.php/ekobis/article/view/3225</v>
      </c>
      <c r="R454" s="6"/>
    </row>
    <row r="455">
      <c r="A455" s="5">
        <f>IFERROR(__xludf.DUMMYFUNCTION("""COMPUTED_VALUE"""),454.0)</f>
        <v>454</v>
      </c>
      <c r="B455" s="6" t="str">
        <f>IFERROR(__xludf.DUMMYFUNCTION("""COMPUTED_VALUE"""),"Faktor Pribadi Dan Psikologis Terhadap Keputusan Konsumen Membeli Susu Shi Jack Solo")</f>
        <v>Faktor Pribadi Dan Psikologis Terhadap Keputusan Konsumen Membeli Susu Shi Jack Solo</v>
      </c>
      <c r="C455" s="7">
        <f>IFERROR(__xludf.DUMMYFUNCTION("""COMPUTED_VALUE"""),2022.0)</f>
        <v>2022</v>
      </c>
      <c r="D455" s="8" t="str">
        <f>IFERROR(__xludf.DUMMYFUNCTION("""COMPUTED_VALUE"""),"2021/2022")</f>
        <v>2021/2022</v>
      </c>
      <c r="E455" s="9">
        <f>IFERROR(__xludf.DUMMYFUNCTION("""COMPUTED_VALUE"""),44788.0)</f>
        <v>44788</v>
      </c>
      <c r="F455" s="5" t="str">
        <f>IFERROR(__xludf.DUMMYFUNCTION("""COMPUTED_VALUE"""),"Genap")</f>
        <v>Genap</v>
      </c>
      <c r="G455" s="5" t="str">
        <f>IFERROR(__xludf.DUMMYFUNCTION("""COMPUTED_VALUE"""),"Manajemen")</f>
        <v>Manajemen</v>
      </c>
      <c r="H455" s="10" t="str">
        <f>IFERROR(__xludf.DUMMYFUNCTION("""COMPUTED_VALUE"""),"Mahasiswa")</f>
        <v>Mahasiswa</v>
      </c>
      <c r="I455" s="6" t="str">
        <f>IFERROR(__xludf.DUMMYFUNCTION("""COMPUTED_VALUE"""),"Dita Ayu Aryanti")</f>
        <v>Dita Ayu Aryanti</v>
      </c>
      <c r="J455" s="6" t="str">
        <f>IFERROR(__xludf.DUMMYFUNCTION("""COMPUTED_VALUE"""),"Andri Nurtantiono")</f>
        <v>Andri Nurtantiono</v>
      </c>
      <c r="K455" s="6"/>
      <c r="L455" s="6"/>
      <c r="M455" s="6"/>
      <c r="N455" s="6"/>
      <c r="O455" s="6"/>
      <c r="P455" s="10" t="str">
        <f>IFERROR(__xludf.DUMMYFUNCTION("""COMPUTED_VALUE"""),"Dita Ayu Aryanti,Andri Nurtantiono,,")</f>
        <v>Dita Ayu Aryanti,Andri Nurtantiono,,</v>
      </c>
      <c r="Q455" s="11" t="str">
        <f>IFERROR(__xludf.DUMMYFUNCTION("""COMPUTED_VALUE"""),"https://ejournal.uika-bogor.ac.id/index.php/Manager/article/view/7984")</f>
        <v>https://ejournal.uika-bogor.ac.id/index.php/Manager/article/view/7984</v>
      </c>
      <c r="R455" s="6"/>
    </row>
    <row r="456">
      <c r="A456" s="5">
        <f>IFERROR(__xludf.DUMMYFUNCTION("""COMPUTED_VALUE"""),455.0)</f>
        <v>455</v>
      </c>
      <c r="B456" s="6" t="str">
        <f>IFERROR(__xludf.DUMMYFUNCTION("""COMPUTED_VALUE"""),"Pengaruh Price Discount Dan Hedonic Shopping Motivation Terhadap Impulse Buying: Positive Emotion Sebagai Variabel Mediasi (Studi Pada Wanita Generasi Z Pengguna E-Commerce Di Jawa Tengah)")</f>
        <v>Pengaruh Price Discount Dan Hedonic Shopping Motivation Terhadap Impulse Buying: Positive Emotion Sebagai Variabel Mediasi (Studi Pada Wanita Generasi Z Pengguna E-Commerce Di Jawa Tengah)</v>
      </c>
      <c r="C456" s="7">
        <f>IFERROR(__xludf.DUMMYFUNCTION("""COMPUTED_VALUE"""),2022.0)</f>
        <v>2022</v>
      </c>
      <c r="D456" s="8" t="str">
        <f>IFERROR(__xludf.DUMMYFUNCTION("""COMPUTED_VALUE"""),"2021/2022")</f>
        <v>2021/2022</v>
      </c>
      <c r="E456" s="9">
        <f>IFERROR(__xludf.DUMMYFUNCTION("""COMPUTED_VALUE"""),44790.0)</f>
        <v>44790</v>
      </c>
      <c r="F456" s="5" t="str">
        <f>IFERROR(__xludf.DUMMYFUNCTION("""COMPUTED_VALUE"""),"Genap")</f>
        <v>Genap</v>
      </c>
      <c r="G456" s="5" t="str">
        <f>IFERROR(__xludf.DUMMYFUNCTION("""COMPUTED_VALUE"""),"Akuntansi")</f>
        <v>Akuntansi</v>
      </c>
      <c r="H456" s="10" t="str">
        <f>IFERROR(__xludf.DUMMYFUNCTION("""COMPUTED_VALUE"""),"Mahasiswa")</f>
        <v>Mahasiswa</v>
      </c>
      <c r="I456" s="6" t="str">
        <f>IFERROR(__xludf.DUMMYFUNCTION("""COMPUTED_VALUE"""),"Mentari")</f>
        <v>Mentari</v>
      </c>
      <c r="J456" s="6" t="str">
        <f>IFERROR(__xludf.DUMMYFUNCTION("""COMPUTED_VALUE"""),"Tri Ratna Pamikatsih")</f>
        <v>Tri Ratna Pamikatsih</v>
      </c>
      <c r="K456" s="6"/>
      <c r="L456" s="6"/>
      <c r="M456" s="6"/>
      <c r="N456" s="6"/>
      <c r="O456" s="6"/>
      <c r="P456" s="10" t="str">
        <f>IFERROR(__xludf.DUMMYFUNCTION("""COMPUTED_VALUE"""),"Mentari,Tri Ratna Pamikatsih,,")</f>
        <v>Mentari,Tri Ratna Pamikatsih,,</v>
      </c>
      <c r="Q456" s="11" t="str">
        <f>IFERROR(__xludf.DUMMYFUNCTION("""COMPUTED_VALUE"""),"https://jurnal.stie-aas.ac.id/index.php/jie/article/view/5947")</f>
        <v>https://jurnal.stie-aas.ac.id/index.php/jie/article/view/5947</v>
      </c>
      <c r="R456" s="6"/>
    </row>
    <row r="457">
      <c r="A457" s="5">
        <f>IFERROR(__xludf.DUMMYFUNCTION("""COMPUTED_VALUE"""),456.0)</f>
        <v>456</v>
      </c>
      <c r="B457" s="6" t="str">
        <f>IFERROR(__xludf.DUMMYFUNCTION("""COMPUTED_VALUE"""),"Analisis Faktor Yang Mempengaruhi Loyalitas Konsumen di PT. Kebakkramat Elang Perkasa")</f>
        <v>Analisis Faktor Yang Mempengaruhi Loyalitas Konsumen di PT. Kebakkramat Elang Perkasa</v>
      </c>
      <c r="C457" s="7">
        <f>IFERROR(__xludf.DUMMYFUNCTION("""COMPUTED_VALUE"""),2022.0)</f>
        <v>2022</v>
      </c>
      <c r="D457" s="8" t="str">
        <f>IFERROR(__xludf.DUMMYFUNCTION("""COMPUTED_VALUE"""),"2021/2022")</f>
        <v>2021/2022</v>
      </c>
      <c r="E457" s="9">
        <f>IFERROR(__xludf.DUMMYFUNCTION("""COMPUTED_VALUE"""),44797.0)</f>
        <v>44797</v>
      </c>
      <c r="F457" s="5" t="str">
        <f>IFERROR(__xludf.DUMMYFUNCTION("""COMPUTED_VALUE"""),"Genap")</f>
        <v>Genap</v>
      </c>
      <c r="G457" s="5" t="str">
        <f>IFERROR(__xludf.DUMMYFUNCTION("""COMPUTED_VALUE"""),"Manajemen")</f>
        <v>Manajemen</v>
      </c>
      <c r="H457" s="10" t="str">
        <f>IFERROR(__xludf.DUMMYFUNCTION("""COMPUTED_VALUE"""),"Mahasiswa")</f>
        <v>Mahasiswa</v>
      </c>
      <c r="I457" s="6" t="str">
        <f>IFERROR(__xludf.DUMMYFUNCTION("""COMPUTED_VALUE"""),"Puji Tri Setyowati")</f>
        <v>Puji Tri Setyowati</v>
      </c>
      <c r="J457" s="6" t="str">
        <f>IFERROR(__xludf.DUMMYFUNCTION("""COMPUTED_VALUE"""),"Ida Ayu Kade")</f>
        <v>Ida Ayu Kade</v>
      </c>
      <c r="K457" s="6"/>
      <c r="L457" s="6"/>
      <c r="M457" s="6"/>
      <c r="N457" s="6"/>
      <c r="O457" s="6"/>
      <c r="P457" s="10" t="str">
        <f>IFERROR(__xludf.DUMMYFUNCTION("""COMPUTED_VALUE"""),"Puji Tri Setyowati,Ida Ayu Kade,,")</f>
        <v>Puji Tri Setyowati,Ida Ayu Kade,,</v>
      </c>
      <c r="Q457" s="11" t="str">
        <f>IFERROR(__xludf.DUMMYFUNCTION("""COMPUTED_VALUE"""),"https://stia-binataruna.e-journal.id/PUBLIK/article/view/331")</f>
        <v>https://stia-binataruna.e-journal.id/PUBLIK/article/view/331</v>
      </c>
      <c r="R457" s="6"/>
    </row>
    <row r="458">
      <c r="A458" s="5">
        <f>IFERROR(__xludf.DUMMYFUNCTION("""COMPUTED_VALUE"""),457.0)</f>
        <v>457</v>
      </c>
      <c r="B458" s="6" t="str">
        <f>IFERROR(__xludf.DUMMYFUNCTION("""COMPUTED_VALUE"""),"DETERMINAN PENDAPATAN UMKM DI PASAR BEKONANG")</f>
        <v>DETERMINAN PENDAPATAN UMKM DI PASAR BEKONANG</v>
      </c>
      <c r="C458" s="7">
        <f>IFERROR(__xludf.DUMMYFUNCTION("""COMPUTED_VALUE"""),2022.0)</f>
        <v>2022</v>
      </c>
      <c r="D458" s="8" t="str">
        <f>IFERROR(__xludf.DUMMYFUNCTION("""COMPUTED_VALUE"""),"2021/2022")</f>
        <v>2021/2022</v>
      </c>
      <c r="E458" s="9">
        <f>IFERROR(__xludf.DUMMYFUNCTION("""COMPUTED_VALUE"""),44800.0)</f>
        <v>44800</v>
      </c>
      <c r="F458" s="5" t="str">
        <f>IFERROR(__xludf.DUMMYFUNCTION("""COMPUTED_VALUE"""),"Genap")</f>
        <v>Genap</v>
      </c>
      <c r="G458" s="5" t="str">
        <f>IFERROR(__xludf.DUMMYFUNCTION("""COMPUTED_VALUE"""),"Akuntansi")</f>
        <v>Akuntansi</v>
      </c>
      <c r="H458" s="10" t="str">
        <f>IFERROR(__xludf.DUMMYFUNCTION("""COMPUTED_VALUE"""),"Mahasiswa")</f>
        <v>Mahasiswa</v>
      </c>
      <c r="I458" s="6" t="str">
        <f>IFERROR(__xludf.DUMMYFUNCTION("""COMPUTED_VALUE"""),"Peggiyana Kusuma Ningrum")</f>
        <v>Peggiyana Kusuma Ningrum</v>
      </c>
      <c r="J458" s="6" t="str">
        <f>IFERROR(__xludf.DUMMYFUNCTION("""COMPUTED_VALUE"""),"Astuning Saharsini")</f>
        <v>Astuning Saharsini</v>
      </c>
      <c r="K458" s="6"/>
      <c r="L458" s="6"/>
      <c r="M458" s="6"/>
      <c r="N458" s="6"/>
      <c r="O458" s="6"/>
      <c r="P458" s="10" t="str">
        <f>IFERROR(__xludf.DUMMYFUNCTION("""COMPUTED_VALUE"""),"Peggiyana Kusuma Ningrum,Astuning Saharsini,,")</f>
        <v>Peggiyana Kusuma Ningrum,Astuning Saharsini,,</v>
      </c>
      <c r="Q458" s="11" t="str">
        <f>IFERROR(__xludf.DUMMYFUNCTION("""COMPUTED_VALUE"""),"https://bajangjournal.com/index.php/Juremi/article/view/3377")</f>
        <v>https://bajangjournal.com/index.php/Juremi/article/view/3377</v>
      </c>
      <c r="R458" s="6"/>
    </row>
    <row r="459">
      <c r="A459" s="5">
        <f>IFERROR(__xludf.DUMMYFUNCTION("""COMPUTED_VALUE"""),458.0)</f>
        <v>458</v>
      </c>
      <c r="B459" s="6" t="str">
        <f>IFERROR(__xludf.DUMMYFUNCTION("""COMPUTED_VALUE"""),"Analisis Faktor Yang Mempengaruhi Generasi Z Di Surakarta Menjadi Pengguna E-Wallet Shopeepay")</f>
        <v>Analisis Faktor Yang Mempengaruhi Generasi Z Di Surakarta Menjadi Pengguna E-Wallet Shopeepay</v>
      </c>
      <c r="C459" s="7">
        <f>IFERROR(__xludf.DUMMYFUNCTION("""COMPUTED_VALUE"""),2022.0)</f>
        <v>2022</v>
      </c>
      <c r="D459" s="8" t="str">
        <f>IFERROR(__xludf.DUMMYFUNCTION("""COMPUTED_VALUE"""),"2021/2022")</f>
        <v>2021/2022</v>
      </c>
      <c r="E459" s="9">
        <f>IFERROR(__xludf.DUMMYFUNCTION("""COMPUTED_VALUE"""),44803.0)</f>
        <v>44803</v>
      </c>
      <c r="F459" s="5" t="str">
        <f>IFERROR(__xludf.DUMMYFUNCTION("""COMPUTED_VALUE"""),"Genap")</f>
        <v>Genap</v>
      </c>
      <c r="G459" s="5" t="str">
        <f>IFERROR(__xludf.DUMMYFUNCTION("""COMPUTED_VALUE"""),"Akuntansi")</f>
        <v>Akuntansi</v>
      </c>
      <c r="H459" s="10" t="str">
        <f>IFERROR(__xludf.DUMMYFUNCTION("""COMPUTED_VALUE"""),"Mahasiswa")</f>
        <v>Mahasiswa</v>
      </c>
      <c r="I459" s="6" t="str">
        <f>IFERROR(__xludf.DUMMYFUNCTION("""COMPUTED_VALUE"""),"Fania Indri Puspitasari")</f>
        <v>Fania Indri Puspitasari</v>
      </c>
      <c r="J459" s="6" t="str">
        <f>IFERROR(__xludf.DUMMYFUNCTION("""COMPUTED_VALUE"""),"Pardi")</f>
        <v>Pardi</v>
      </c>
      <c r="K459" s="6"/>
      <c r="L459" s="6"/>
      <c r="M459" s="6"/>
      <c r="N459" s="6"/>
      <c r="O459" s="6"/>
      <c r="P459" s="10" t="str">
        <f>IFERROR(__xludf.DUMMYFUNCTION("""COMPUTED_VALUE"""),"Fania Indri Puspitasari,Pardi,,")</f>
        <v>Fania Indri Puspitasari,Pardi,,</v>
      </c>
      <c r="Q459" s="11" t="str">
        <f>IFERROR(__xludf.DUMMYFUNCTION("""COMPUTED_VALUE"""),"https://jurnal.stie-aas.ac.id/index.php/jie/article/view/6399")</f>
        <v>https://jurnal.stie-aas.ac.id/index.php/jie/article/view/6399</v>
      </c>
      <c r="R459" s="6"/>
    </row>
    <row r="460">
      <c r="A460" s="5">
        <f>IFERROR(__xludf.DUMMYFUNCTION("""COMPUTED_VALUE"""),459.0)</f>
        <v>459</v>
      </c>
      <c r="B460" s="6" t="str">
        <f>IFERROR(__xludf.DUMMYFUNCTION("""COMPUTED_VALUE"""),"Analysis Of Factors Affecting The Implementation Of Social And Environmental Responsibility Disclosure In Property, Real Estate, And Construction Companies Listed On The")</f>
        <v>Analysis Of Factors Affecting The Implementation Of Social And Environmental Responsibility Disclosure In Property, Real Estate, And Construction Companies Listed On The</v>
      </c>
      <c r="C460" s="7">
        <f>IFERROR(__xludf.DUMMYFUNCTION("""COMPUTED_VALUE"""),2022.0)</f>
        <v>2022</v>
      </c>
      <c r="D460" s="8" t="str">
        <f>IFERROR(__xludf.DUMMYFUNCTION("""COMPUTED_VALUE"""),"2021/2022")</f>
        <v>2021/2022</v>
      </c>
      <c r="E460" s="9">
        <f>IFERROR(__xludf.DUMMYFUNCTION("""COMPUTED_VALUE"""),44805.0)</f>
        <v>44805</v>
      </c>
      <c r="F460" s="5" t="str">
        <f>IFERROR(__xludf.DUMMYFUNCTION("""COMPUTED_VALUE"""),"Genap")</f>
        <v>Genap</v>
      </c>
      <c r="G460" s="5" t="str">
        <f>IFERROR(__xludf.DUMMYFUNCTION("""COMPUTED_VALUE"""),"Akuntansi")</f>
        <v>Akuntansi</v>
      </c>
      <c r="H460" s="10" t="str">
        <f>IFERROR(__xludf.DUMMYFUNCTION("""COMPUTED_VALUE"""),"Mahasiswa")</f>
        <v>Mahasiswa</v>
      </c>
      <c r="I460" s="6" t="str">
        <f>IFERROR(__xludf.DUMMYFUNCTION("""COMPUTED_VALUE"""),"Lintang Kurniawati")</f>
        <v>Lintang Kurniawati</v>
      </c>
      <c r="J460" s="6" t="str">
        <f>IFERROR(__xludf.DUMMYFUNCTION("""COMPUTED_VALUE"""),"Nur Kholis")</f>
        <v>Nur Kholis</v>
      </c>
      <c r="K460" s="6" t="str">
        <f>IFERROR(__xludf.DUMMYFUNCTION("""COMPUTED_VALUE"""),"Mujiyati")</f>
        <v>Mujiyati</v>
      </c>
      <c r="L460" s="6"/>
      <c r="M460" s="6"/>
      <c r="N460" s="6"/>
      <c r="O460" s="6"/>
      <c r="P460" s="10" t="str">
        <f>IFERROR(__xludf.DUMMYFUNCTION("""COMPUTED_VALUE"""),"Lintang Kurniawati,Nur Kholis,Mujiyati,")</f>
        <v>Lintang Kurniawati,Nur Kholis,Mujiyati,</v>
      </c>
      <c r="Q460" s="11" t="str">
        <f>IFERROR(__xludf.DUMMYFUNCTION("""COMPUTED_VALUE"""),"https://journals.ums.ac.id/index.php/reaksi/article/view/20040")</f>
        <v>https://journals.ums.ac.id/index.php/reaksi/article/view/20040</v>
      </c>
      <c r="R460" s="6"/>
    </row>
    <row r="461">
      <c r="A461" s="5">
        <f>IFERROR(__xludf.DUMMYFUNCTION("""COMPUTED_VALUE"""),460.0)</f>
        <v>460</v>
      </c>
      <c r="B461" s="6" t="str">
        <f>IFERROR(__xludf.DUMMYFUNCTION("""COMPUTED_VALUE"""),"Pengaruh Brand Ambassador, Brand Image Dan Kualitas Produk Terhadap Keputusan Pembelian Pada Kosmetik Wardah Di Kota Surakarta")</f>
        <v>Pengaruh Brand Ambassador, Brand Image Dan Kualitas Produk Terhadap Keputusan Pembelian Pada Kosmetik Wardah Di Kota Surakarta</v>
      </c>
      <c r="C461" s="7">
        <f>IFERROR(__xludf.DUMMYFUNCTION("""COMPUTED_VALUE"""),2022.0)</f>
        <v>2022</v>
      </c>
      <c r="D461" s="8" t="str">
        <f>IFERROR(__xludf.DUMMYFUNCTION("""COMPUTED_VALUE"""),"2021/2022")</f>
        <v>2021/2022</v>
      </c>
      <c r="E461" s="9">
        <f>IFERROR(__xludf.DUMMYFUNCTION("""COMPUTED_VALUE"""),44806.0)</f>
        <v>44806</v>
      </c>
      <c r="F461" s="5" t="str">
        <f>IFERROR(__xludf.DUMMYFUNCTION("""COMPUTED_VALUE"""),"Genap")</f>
        <v>Genap</v>
      </c>
      <c r="G461" s="5" t="str">
        <f>IFERROR(__xludf.DUMMYFUNCTION("""COMPUTED_VALUE"""),"")</f>
        <v/>
      </c>
      <c r="H461" s="10" t="str">
        <f>IFERROR(__xludf.DUMMYFUNCTION("""COMPUTED_VALUE"""),"Mahasiswa")</f>
        <v>Mahasiswa</v>
      </c>
      <c r="I461" s="6" t="str">
        <f>IFERROR(__xludf.DUMMYFUNCTION("""COMPUTED_VALUE"""),"Elva Fazirah")</f>
        <v>Elva Fazirah</v>
      </c>
      <c r="J461" s="6"/>
      <c r="K461" s="6"/>
      <c r="L461" s="6"/>
      <c r="M461" s="6"/>
      <c r="N461" s="6"/>
      <c r="O461" s="6"/>
      <c r="P461" s="10" t="str">
        <f>IFERROR(__xludf.DUMMYFUNCTION("""COMPUTED_VALUE"""),"Elva Fazirah,,,")</f>
        <v>Elva Fazirah,,,</v>
      </c>
      <c r="Q461" s="11" t="str">
        <f>IFERROR(__xludf.DUMMYFUNCTION("""COMPUTED_VALUE"""),"https://jurnalfe.ustjogja.ac.id/index.php/ekobis/article/view/3279")</f>
        <v>https://jurnalfe.ustjogja.ac.id/index.php/ekobis/article/view/3279</v>
      </c>
      <c r="R461" s="6"/>
    </row>
    <row r="462">
      <c r="A462" s="5">
        <f>IFERROR(__xludf.DUMMYFUNCTION("""COMPUTED_VALUE"""),461.0)</f>
        <v>461</v>
      </c>
      <c r="B462" s="6" t="str">
        <f>IFERROR(__xludf.DUMMYFUNCTION("""COMPUTED_VALUE"""),"Analisis Pengaruh Kualitas Produk, Kualitas Pelayanan, dan Citra Merek terhadap Loyalitas Pelanggan")</f>
        <v>Analisis Pengaruh Kualitas Produk, Kualitas Pelayanan, dan Citra Merek terhadap Loyalitas Pelanggan</v>
      </c>
      <c r="C462" s="7">
        <f>IFERROR(__xludf.DUMMYFUNCTION("""COMPUTED_VALUE"""),2022.0)</f>
        <v>2022</v>
      </c>
      <c r="D462" s="8" t="str">
        <f>IFERROR(__xludf.DUMMYFUNCTION("""COMPUTED_VALUE"""),"2022/2023")</f>
        <v>2022/2023</v>
      </c>
      <c r="E462" s="9">
        <f>IFERROR(__xludf.DUMMYFUNCTION("""COMPUTED_VALUE"""),44812.0)</f>
        <v>44812</v>
      </c>
      <c r="F462" s="5" t="str">
        <f>IFERROR(__xludf.DUMMYFUNCTION("""COMPUTED_VALUE"""),"Ganjil")</f>
        <v>Ganjil</v>
      </c>
      <c r="G462" s="5" t="str">
        <f>IFERROR(__xludf.DUMMYFUNCTION("""COMPUTED_VALUE"""),"Manajemen")</f>
        <v>Manajemen</v>
      </c>
      <c r="H462" s="10" t="str">
        <f>IFERROR(__xludf.DUMMYFUNCTION("""COMPUTED_VALUE"""),"Mahasiswa")</f>
        <v>Mahasiswa</v>
      </c>
      <c r="I462" s="6" t="str">
        <f>IFERROR(__xludf.DUMMYFUNCTION("""COMPUTED_VALUE"""),"Bunga Aisyah")</f>
        <v>Bunga Aisyah</v>
      </c>
      <c r="J462" s="6" t="str">
        <f>IFERROR(__xludf.DUMMYFUNCTION("""COMPUTED_VALUE"""),"Atik Lusia")</f>
        <v>Atik Lusia</v>
      </c>
      <c r="K462" s="6"/>
      <c r="L462" s="6"/>
      <c r="M462" s="6"/>
      <c r="N462" s="6"/>
      <c r="O462" s="6"/>
      <c r="P462" s="10" t="str">
        <f>IFERROR(__xludf.DUMMYFUNCTION("""COMPUTED_VALUE"""),"Bunga Aisyah,Atik Lusia,,")</f>
        <v>Bunga Aisyah,Atik Lusia,,</v>
      </c>
      <c r="Q462" s="11" t="str">
        <f>IFERROR(__xludf.DUMMYFUNCTION("""COMPUTED_VALUE"""),"https://ejournal.goacademica.com/index.php/jk/article/view/588")</f>
        <v>https://ejournal.goacademica.com/index.php/jk/article/view/588</v>
      </c>
      <c r="R462" s="6"/>
    </row>
    <row r="463">
      <c r="A463" s="5">
        <f>IFERROR(__xludf.DUMMYFUNCTION("""COMPUTED_VALUE"""),462.0)</f>
        <v>462</v>
      </c>
      <c r="B463" s="6" t="str">
        <f>IFERROR(__xludf.DUMMYFUNCTION("""COMPUTED_VALUE"""),"Analisis Pengaruh Kualitas Produk, Kualitas Pelayanan, Dan Citra Merek Terhadap Loyalitas Pelanggan: Studi Kasus Pada Gerai Indosat Solobaru")</f>
        <v>Analisis Pengaruh Kualitas Produk, Kualitas Pelayanan, Dan Citra Merek Terhadap Loyalitas Pelanggan: Studi Kasus Pada Gerai Indosat Solobaru</v>
      </c>
      <c r="C463" s="7">
        <f>IFERROR(__xludf.DUMMYFUNCTION("""COMPUTED_VALUE"""),2022.0)</f>
        <v>2022</v>
      </c>
      <c r="D463" s="8" t="str">
        <f>IFERROR(__xludf.DUMMYFUNCTION("""COMPUTED_VALUE"""),"2022/2023")</f>
        <v>2022/2023</v>
      </c>
      <c r="E463" s="9">
        <f>IFERROR(__xludf.DUMMYFUNCTION("""COMPUTED_VALUE"""),44812.0)</f>
        <v>44812</v>
      </c>
      <c r="F463" s="5" t="str">
        <f>IFERROR(__xludf.DUMMYFUNCTION("""COMPUTED_VALUE"""),"Ganjil")</f>
        <v>Ganjil</v>
      </c>
      <c r="G463" s="5" t="str">
        <f>IFERROR(__xludf.DUMMYFUNCTION("""COMPUTED_VALUE"""),"Manajemen")</f>
        <v>Manajemen</v>
      </c>
      <c r="H463" s="10" t="str">
        <f>IFERROR(__xludf.DUMMYFUNCTION("""COMPUTED_VALUE"""),"Mahasiswa")</f>
        <v>Mahasiswa</v>
      </c>
      <c r="I463" s="6" t="str">
        <f>IFERROR(__xludf.DUMMYFUNCTION("""COMPUTED_VALUE"""),"Bunga Aisyah")</f>
        <v>Bunga Aisyah</v>
      </c>
      <c r="J463" s="6" t="str">
        <f>IFERROR(__xludf.DUMMYFUNCTION("""COMPUTED_VALUE"""),"Atik Lusia")</f>
        <v>Atik Lusia</v>
      </c>
      <c r="K463" s="6"/>
      <c r="L463" s="6"/>
      <c r="M463" s="6"/>
      <c r="N463" s="6"/>
      <c r="O463" s="6"/>
      <c r="P463" s="10" t="str">
        <f>IFERROR(__xludf.DUMMYFUNCTION("""COMPUTED_VALUE"""),"Bunga Aisyah,Atik Lusia,,")</f>
        <v>Bunga Aisyah,Atik Lusia,,</v>
      </c>
      <c r="Q463" s="11" t="str">
        <f>IFERROR(__xludf.DUMMYFUNCTION("""COMPUTED_VALUE"""),"https://ejournal.goacademica.com/index.php/jk/article/view/588")</f>
        <v>https://ejournal.goacademica.com/index.php/jk/article/view/588</v>
      </c>
      <c r="R463" s="6"/>
    </row>
    <row r="464">
      <c r="A464" s="5">
        <f>IFERROR(__xludf.DUMMYFUNCTION("""COMPUTED_VALUE"""),463.0)</f>
        <v>463</v>
      </c>
      <c r="B464" s="6" t="str">
        <f>IFERROR(__xludf.DUMMYFUNCTION("""COMPUTED_VALUE"""),"Pengaruh Kepemimpinan, Disiplin Kerja dan Kompensasi terhadap Kinerja Karyawan CV Surya Putra Kimindo")</f>
        <v>Pengaruh Kepemimpinan, Disiplin Kerja dan Kompensasi terhadap Kinerja Karyawan CV Surya Putra Kimindo</v>
      </c>
      <c r="C464" s="7">
        <f>IFERROR(__xludf.DUMMYFUNCTION("""COMPUTED_VALUE"""),2022.0)</f>
        <v>2022</v>
      </c>
      <c r="D464" s="8" t="str">
        <f>IFERROR(__xludf.DUMMYFUNCTION("""COMPUTED_VALUE"""),"2022/2023")</f>
        <v>2022/2023</v>
      </c>
      <c r="E464" s="9">
        <f>IFERROR(__xludf.DUMMYFUNCTION("""COMPUTED_VALUE"""),44813.0)</f>
        <v>44813</v>
      </c>
      <c r="F464" s="5" t="str">
        <f>IFERROR(__xludf.DUMMYFUNCTION("""COMPUTED_VALUE"""),"Ganjil")</f>
        <v>Ganjil</v>
      </c>
      <c r="G464" s="5" t="str">
        <f>IFERROR(__xludf.DUMMYFUNCTION("""COMPUTED_VALUE"""),"Manajemen")</f>
        <v>Manajemen</v>
      </c>
      <c r="H464" s="10" t="str">
        <f>IFERROR(__xludf.DUMMYFUNCTION("""COMPUTED_VALUE"""),"Mahasiswa")</f>
        <v>Mahasiswa</v>
      </c>
      <c r="I464" s="6" t="str">
        <f>IFERROR(__xludf.DUMMYFUNCTION("""COMPUTED_VALUE"""),"Danisa Outri Pricila")</f>
        <v>Danisa Outri Pricila</v>
      </c>
      <c r="J464" s="6" t="str">
        <f>IFERROR(__xludf.DUMMYFUNCTION("""COMPUTED_VALUE"""),"Atik Lusia")</f>
        <v>Atik Lusia</v>
      </c>
      <c r="K464" s="6"/>
      <c r="L464" s="6"/>
      <c r="M464" s="6"/>
      <c r="N464" s="6"/>
      <c r="O464" s="6"/>
      <c r="P464" s="10" t="str">
        <f>IFERROR(__xludf.DUMMYFUNCTION("""COMPUTED_VALUE"""),"Danisa Outri Pricila,Atik Lusia,,")</f>
        <v>Danisa Outri Pricila,Atik Lusia,,</v>
      </c>
      <c r="Q464" s="11" t="str">
        <f>IFERROR(__xludf.DUMMYFUNCTION("""COMPUTED_VALUE"""),"https://ejournal.goacademica.com/index.php/jk/article/view/589")</f>
        <v>https://ejournal.goacademica.com/index.php/jk/article/view/589</v>
      </c>
      <c r="R464" s="6"/>
    </row>
    <row r="465">
      <c r="A465" s="5">
        <f>IFERROR(__xludf.DUMMYFUNCTION("""COMPUTED_VALUE"""),464.0)</f>
        <v>464</v>
      </c>
      <c r="B465" s="6" t="str">
        <f>IFERROR(__xludf.DUMMYFUNCTION("""COMPUTED_VALUE"""),"Pengaruh Kepemimpinan, Disiplin Kerja Dan Kompensasi Terhadap Kinerja Karyawan: Survei Pada Karyawan Cv. Surya Putra Kimindo Di Sukoharjo")</f>
        <v>Pengaruh Kepemimpinan, Disiplin Kerja Dan Kompensasi Terhadap Kinerja Karyawan: Survei Pada Karyawan Cv. Surya Putra Kimindo Di Sukoharjo</v>
      </c>
      <c r="C465" s="7">
        <f>IFERROR(__xludf.DUMMYFUNCTION("""COMPUTED_VALUE"""),2022.0)</f>
        <v>2022</v>
      </c>
      <c r="D465" s="8" t="str">
        <f>IFERROR(__xludf.DUMMYFUNCTION("""COMPUTED_VALUE"""),"2022/2023")</f>
        <v>2022/2023</v>
      </c>
      <c r="E465" s="9">
        <f>IFERROR(__xludf.DUMMYFUNCTION("""COMPUTED_VALUE"""),44813.0)</f>
        <v>44813</v>
      </c>
      <c r="F465" s="5" t="str">
        <f>IFERROR(__xludf.DUMMYFUNCTION("""COMPUTED_VALUE"""),"Ganjil")</f>
        <v>Ganjil</v>
      </c>
      <c r="G465" s="5" t="str">
        <f>IFERROR(__xludf.DUMMYFUNCTION("""COMPUTED_VALUE"""),"Manajemen")</f>
        <v>Manajemen</v>
      </c>
      <c r="H465" s="10" t="str">
        <f>IFERROR(__xludf.DUMMYFUNCTION("""COMPUTED_VALUE"""),"Mahasiswa")</f>
        <v>Mahasiswa</v>
      </c>
      <c r="I465" s="6" t="str">
        <f>IFERROR(__xludf.DUMMYFUNCTION("""COMPUTED_VALUE"""),"Danisa Putri Pricila")</f>
        <v>Danisa Putri Pricila</v>
      </c>
      <c r="J465" s="6" t="str">
        <f>IFERROR(__xludf.DUMMYFUNCTION("""COMPUTED_VALUE"""),"Atik Lusia")</f>
        <v>Atik Lusia</v>
      </c>
      <c r="K465" s="6"/>
      <c r="L465" s="6"/>
      <c r="M465" s="6"/>
      <c r="N465" s="6"/>
      <c r="O465" s="6"/>
      <c r="P465" s="10" t="str">
        <f>IFERROR(__xludf.DUMMYFUNCTION("""COMPUTED_VALUE"""),"Danisa Putri Pricila,Atik Lusia,,")</f>
        <v>Danisa Putri Pricila,Atik Lusia,,</v>
      </c>
      <c r="Q465" s="11" t="str">
        <f>IFERROR(__xludf.DUMMYFUNCTION("""COMPUTED_VALUE"""),"https://ejournal.goacademica.com/index.php/jk/article/view/589")</f>
        <v>https://ejournal.goacademica.com/index.php/jk/article/view/589</v>
      </c>
      <c r="R465" s="6"/>
    </row>
    <row r="466">
      <c r="A466" s="5">
        <f>IFERROR(__xludf.DUMMYFUNCTION("""COMPUTED_VALUE"""),465.0)</f>
        <v>465</v>
      </c>
      <c r="B466" s="6" t="str">
        <f>IFERROR(__xludf.DUMMYFUNCTION("""COMPUTED_VALUE"""),"Pengaruh Persepsi Wajib Pajak Orang Pribadi Atas Pelaksanaan Self Assessment System, Keadilan, Dan Teknologi Perpajakan Terhadap Tindakan Tax Evasion")</f>
        <v>Pengaruh Persepsi Wajib Pajak Orang Pribadi Atas Pelaksanaan Self Assessment System, Keadilan, Dan Teknologi Perpajakan Terhadap Tindakan Tax Evasion</v>
      </c>
      <c r="C466" s="7">
        <f>IFERROR(__xludf.DUMMYFUNCTION("""COMPUTED_VALUE"""),2022.0)</f>
        <v>2022</v>
      </c>
      <c r="D466" s="8" t="str">
        <f>IFERROR(__xludf.DUMMYFUNCTION("""COMPUTED_VALUE"""),"2022/2023")</f>
        <v>2022/2023</v>
      </c>
      <c r="E466" s="9">
        <f>IFERROR(__xludf.DUMMYFUNCTION("""COMPUTED_VALUE"""),44814.0)</f>
        <v>44814</v>
      </c>
      <c r="F466" s="5" t="str">
        <f>IFERROR(__xludf.DUMMYFUNCTION("""COMPUTED_VALUE"""),"Ganjil")</f>
        <v>Ganjil</v>
      </c>
      <c r="G466" s="5" t="str">
        <f>IFERROR(__xludf.DUMMYFUNCTION("""COMPUTED_VALUE"""),"Akuntansi")</f>
        <v>Akuntansi</v>
      </c>
      <c r="H466" s="10" t="str">
        <f>IFERROR(__xludf.DUMMYFUNCTION("""COMPUTED_VALUE"""),"Mahasiswa")</f>
        <v>Mahasiswa</v>
      </c>
      <c r="I466" s="6" t="str">
        <f>IFERROR(__xludf.DUMMYFUNCTION("""COMPUTED_VALUE"""),"Naluri April Leana")</f>
        <v>Naluri April Leana</v>
      </c>
      <c r="J466" s="6" t="str">
        <f>IFERROR(__xludf.DUMMYFUNCTION("""COMPUTED_VALUE"""),"Nur Kholis")</f>
        <v>Nur Kholis</v>
      </c>
      <c r="K466" s="6"/>
      <c r="L466" s="6"/>
      <c r="M466" s="6"/>
      <c r="N466" s="6"/>
      <c r="O466" s="6"/>
      <c r="P466" s="10" t="str">
        <f>IFERROR(__xludf.DUMMYFUNCTION("""COMPUTED_VALUE"""),"Naluri April Leana,Nur Kholis,,")</f>
        <v>Naluri April Leana,Nur Kholis,,</v>
      </c>
      <c r="Q466" s="11" t="str">
        <f>IFERROR(__xludf.DUMMYFUNCTION("""COMPUTED_VALUE"""),"https://ejournal.stiekia.ac.id/index.php/JUMPA/article/view/200")</f>
        <v>https://ejournal.stiekia.ac.id/index.php/JUMPA/article/view/200</v>
      </c>
      <c r="R466" s="6"/>
    </row>
    <row r="467">
      <c r="A467" s="5">
        <f>IFERROR(__xludf.DUMMYFUNCTION("""COMPUTED_VALUE"""),466.0)</f>
        <v>466</v>
      </c>
      <c r="B467" s="6" t="str">
        <f>IFERROR(__xludf.DUMMYFUNCTION("""COMPUTED_VALUE"""),"Penggunaan Informasi Akuntansi Pada Usaha Mikro Kecil Menengah Di Sukoharjo")</f>
        <v>Penggunaan Informasi Akuntansi Pada Usaha Mikro Kecil Menengah Di Sukoharjo</v>
      </c>
      <c r="C467" s="7">
        <f>IFERROR(__xludf.DUMMYFUNCTION("""COMPUTED_VALUE"""),2022.0)</f>
        <v>2022</v>
      </c>
      <c r="D467" s="8" t="str">
        <f>IFERROR(__xludf.DUMMYFUNCTION("""COMPUTED_VALUE"""),"2022/2023")</f>
        <v>2022/2023</v>
      </c>
      <c r="E467" s="9">
        <f>IFERROR(__xludf.DUMMYFUNCTION("""COMPUTED_VALUE"""),44815.0)</f>
        <v>44815</v>
      </c>
      <c r="F467" s="5" t="str">
        <f>IFERROR(__xludf.DUMMYFUNCTION("""COMPUTED_VALUE"""),"Ganjil")</f>
        <v>Ganjil</v>
      </c>
      <c r="G467" s="5" t="str">
        <f>IFERROR(__xludf.DUMMYFUNCTION("""COMPUTED_VALUE"""),"Akuntansi")</f>
        <v>Akuntansi</v>
      </c>
      <c r="H467" s="10" t="str">
        <f>IFERROR(__xludf.DUMMYFUNCTION("""COMPUTED_VALUE"""),"Mahasiswa")</f>
        <v>Mahasiswa</v>
      </c>
      <c r="I467" s="6" t="str">
        <f>IFERROR(__xludf.DUMMYFUNCTION("""COMPUTED_VALUE"""),"Ayuk Putri Pamungkas")</f>
        <v>Ayuk Putri Pamungkas</v>
      </c>
      <c r="J467" s="6" t="str">
        <f>IFERROR(__xludf.DUMMYFUNCTION("""COMPUTED_VALUE"""),"Pardi")</f>
        <v>Pardi</v>
      </c>
      <c r="K467" s="6"/>
      <c r="L467" s="6"/>
      <c r="M467" s="6"/>
      <c r="N467" s="6"/>
      <c r="O467" s="6"/>
      <c r="P467" s="10" t="str">
        <f>IFERROR(__xludf.DUMMYFUNCTION("""COMPUTED_VALUE"""),"Ayuk Putri Pamungkas,Pardi,,")</f>
        <v>Ayuk Putri Pamungkas,Pardi,,</v>
      </c>
      <c r="Q467" s="11" t="str">
        <f>IFERROR(__xludf.DUMMYFUNCTION("""COMPUTED_VALUE"""),"https://journal.unilak.ac.id/index.php/senkim/article/view/11292")</f>
        <v>https://journal.unilak.ac.id/index.php/senkim/article/view/11292</v>
      </c>
      <c r="R467" s="6"/>
    </row>
    <row r="468">
      <c r="A468" s="5">
        <f>IFERROR(__xludf.DUMMYFUNCTION("""COMPUTED_VALUE"""),467.0)</f>
        <v>467</v>
      </c>
      <c r="B468" s="6" t="str">
        <f>IFERROR(__xludf.DUMMYFUNCTION("""COMPUTED_VALUE"""),"Pengaruh Profitabilitas, Sales Growth, dan Good Corporate Governance terhadap Tax Avoidance")</f>
        <v>Pengaruh Profitabilitas, Sales Growth, dan Good Corporate Governance terhadap Tax Avoidance</v>
      </c>
      <c r="C468" s="7">
        <f>IFERROR(__xludf.DUMMYFUNCTION("""COMPUTED_VALUE"""),2022.0)</f>
        <v>2022</v>
      </c>
      <c r="D468" s="8" t="str">
        <f>IFERROR(__xludf.DUMMYFUNCTION("""COMPUTED_VALUE"""),"2022/2023")</f>
        <v>2022/2023</v>
      </c>
      <c r="E468" s="9">
        <f>IFERROR(__xludf.DUMMYFUNCTION("""COMPUTED_VALUE"""),44815.0)</f>
        <v>44815</v>
      </c>
      <c r="F468" s="5" t="str">
        <f>IFERROR(__xludf.DUMMYFUNCTION("""COMPUTED_VALUE"""),"Ganjil")</f>
        <v>Ganjil</v>
      </c>
      <c r="G468" s="5" t="str">
        <f>IFERROR(__xludf.DUMMYFUNCTION("""COMPUTED_VALUE"""),"Akuntansi")</f>
        <v>Akuntansi</v>
      </c>
      <c r="H468" s="10" t="str">
        <f>IFERROR(__xludf.DUMMYFUNCTION("""COMPUTED_VALUE"""),"Mahasiswa")</f>
        <v>Mahasiswa</v>
      </c>
      <c r="I468" s="6" t="str">
        <f>IFERROR(__xludf.DUMMYFUNCTION("""COMPUTED_VALUE"""),"Anisa Nurul Janatin")</f>
        <v>Anisa Nurul Janatin</v>
      </c>
      <c r="J468" s="6" t="str">
        <f>IFERROR(__xludf.DUMMYFUNCTION("""COMPUTED_VALUE"""),"Pardi")</f>
        <v>Pardi</v>
      </c>
      <c r="K468" s="6"/>
      <c r="L468" s="6"/>
      <c r="M468" s="6"/>
      <c r="N468" s="6"/>
      <c r="O468" s="6"/>
      <c r="P468" s="10" t="str">
        <f>IFERROR(__xludf.DUMMYFUNCTION("""COMPUTED_VALUE"""),"Anisa Nurul Janatin,Pardi,,")</f>
        <v>Anisa Nurul Janatin,Pardi,,</v>
      </c>
      <c r="Q468" s="11" t="str">
        <f>IFERROR(__xludf.DUMMYFUNCTION("""COMPUTED_VALUE"""),"https://journal.unilak.ac.id/index.php/senkim/article/view/11306")</f>
        <v>https://journal.unilak.ac.id/index.php/senkim/article/view/11306</v>
      </c>
      <c r="R468" s="6"/>
    </row>
    <row r="469">
      <c r="A469" s="5">
        <f>IFERROR(__xludf.DUMMYFUNCTION("""COMPUTED_VALUE"""),468.0)</f>
        <v>468</v>
      </c>
      <c r="B469" s="6" t="str">
        <f>IFERROR(__xludf.DUMMYFUNCTION("""COMPUTED_VALUE"""),"Analisis Financial Distress Pada Perusahaan Manufaktur Dan Property Yang Terdaftar Di Bei")</f>
        <v>Analisis Financial Distress Pada Perusahaan Manufaktur Dan Property Yang Terdaftar Di Bei</v>
      </c>
      <c r="C469" s="7">
        <f>IFERROR(__xludf.DUMMYFUNCTION("""COMPUTED_VALUE"""),2022.0)</f>
        <v>2022</v>
      </c>
      <c r="D469" s="8" t="str">
        <f>IFERROR(__xludf.DUMMYFUNCTION("""COMPUTED_VALUE"""),"2022/2023")</f>
        <v>2022/2023</v>
      </c>
      <c r="E469" s="9">
        <f>IFERROR(__xludf.DUMMYFUNCTION("""COMPUTED_VALUE"""),44815.0)</f>
        <v>44815</v>
      </c>
      <c r="F469" s="5" t="str">
        <f>IFERROR(__xludf.DUMMYFUNCTION("""COMPUTED_VALUE"""),"Ganjil")</f>
        <v>Ganjil</v>
      </c>
      <c r="G469" s="5" t="str">
        <f>IFERROR(__xludf.DUMMYFUNCTION("""COMPUTED_VALUE"""),"Akuntansi")</f>
        <v>Akuntansi</v>
      </c>
      <c r="H469" s="10" t="str">
        <f>IFERROR(__xludf.DUMMYFUNCTION("""COMPUTED_VALUE"""),"Mahasiswa")</f>
        <v>Mahasiswa</v>
      </c>
      <c r="I469" s="6" t="str">
        <f>IFERROR(__xludf.DUMMYFUNCTION("""COMPUTED_VALUE"""),"Heny Kusuma Wardani")</f>
        <v>Heny Kusuma Wardani</v>
      </c>
      <c r="J469" s="6" t="str">
        <f>IFERROR(__xludf.DUMMYFUNCTION("""COMPUTED_VALUE"""),"Arif Nugroho Rachman")</f>
        <v>Arif Nugroho Rachman</v>
      </c>
      <c r="K469" s="6"/>
      <c r="L469" s="6"/>
      <c r="M469" s="6"/>
      <c r="N469" s="6"/>
      <c r="O469" s="6"/>
      <c r="P469" s="10" t="str">
        <f>IFERROR(__xludf.DUMMYFUNCTION("""COMPUTED_VALUE"""),"Heny Kusuma Wardani,Arif Nugroho Rachman,,")</f>
        <v>Heny Kusuma Wardani,Arif Nugroho Rachman,,</v>
      </c>
      <c r="Q469" s="11" t="str">
        <f>IFERROR(__xludf.DUMMYFUNCTION("""COMPUTED_VALUE"""),"https://journal.unilak.ac.id/index.php/senkim/article/view/11310")</f>
        <v>https://journal.unilak.ac.id/index.php/senkim/article/view/11310</v>
      </c>
      <c r="R469" s="6"/>
    </row>
    <row r="470">
      <c r="A470" s="5">
        <f>IFERROR(__xludf.DUMMYFUNCTION("""COMPUTED_VALUE"""),469.0)</f>
        <v>469</v>
      </c>
      <c r="B470" s="6" t="str">
        <f>IFERROR(__xludf.DUMMYFUNCTION("""COMPUTED_VALUE"""),"Faktor-Faktor Yang Mempengaruhi Terhadap Kinerja Keuangan Daerah Di Provinsi Jawa Tengah")</f>
        <v>Faktor-Faktor Yang Mempengaruhi Terhadap Kinerja Keuangan Daerah Di Provinsi Jawa Tengah</v>
      </c>
      <c r="C470" s="7">
        <f>IFERROR(__xludf.DUMMYFUNCTION("""COMPUTED_VALUE"""),2022.0)</f>
        <v>2022</v>
      </c>
      <c r="D470" s="8" t="str">
        <f>IFERROR(__xludf.DUMMYFUNCTION("""COMPUTED_VALUE"""),"2022/2023")</f>
        <v>2022/2023</v>
      </c>
      <c r="E470" s="9">
        <f>IFERROR(__xludf.DUMMYFUNCTION("""COMPUTED_VALUE"""),44815.0)</f>
        <v>44815</v>
      </c>
      <c r="F470" s="5" t="str">
        <f>IFERROR(__xludf.DUMMYFUNCTION("""COMPUTED_VALUE"""),"Ganjil")</f>
        <v>Ganjil</v>
      </c>
      <c r="G470" s="5" t="str">
        <f>IFERROR(__xludf.DUMMYFUNCTION("""COMPUTED_VALUE"""),"Akuntansi")</f>
        <v>Akuntansi</v>
      </c>
      <c r="H470" s="10" t="str">
        <f>IFERROR(__xludf.DUMMYFUNCTION("""COMPUTED_VALUE"""),"Mahasiswa")</f>
        <v>Mahasiswa</v>
      </c>
      <c r="I470" s="6" t="str">
        <f>IFERROR(__xludf.DUMMYFUNCTION("""COMPUTED_VALUE"""),"Citra Nusa Afianti")</f>
        <v>Citra Nusa Afianti</v>
      </c>
      <c r="J470" s="6" t="str">
        <f>IFERROR(__xludf.DUMMYFUNCTION("""COMPUTED_VALUE"""),"Arif Nugroho Rachman")</f>
        <v>Arif Nugroho Rachman</v>
      </c>
      <c r="K470" s="6"/>
      <c r="L470" s="6"/>
      <c r="M470" s="6"/>
      <c r="N470" s="6"/>
      <c r="O470" s="6"/>
      <c r="P470" s="10" t="str">
        <f>IFERROR(__xludf.DUMMYFUNCTION("""COMPUTED_VALUE"""),"Citra Nusa Afianti,Arif Nugroho Rachman,,")</f>
        <v>Citra Nusa Afianti,Arif Nugroho Rachman,,</v>
      </c>
      <c r="Q470" s="11" t="str">
        <f>IFERROR(__xludf.DUMMYFUNCTION("""COMPUTED_VALUE"""),"https://journal.unilak.ac.id/index.php/senkim/article/view/11337")</f>
        <v>https://journal.unilak.ac.id/index.php/senkim/article/view/11337</v>
      </c>
      <c r="R470" s="6"/>
    </row>
    <row r="471">
      <c r="A471" s="5">
        <f>IFERROR(__xludf.DUMMYFUNCTION("""COMPUTED_VALUE"""),470.0)</f>
        <v>470</v>
      </c>
      <c r="B471" s="6" t="str">
        <f>IFERROR(__xludf.DUMMYFUNCTION("""COMPUTED_VALUE"""),"Pengaruh Determinan Terhadap Keputusan Pembelian Kopi Instan Good Day Di Kota Surakarta")</f>
        <v>Pengaruh Determinan Terhadap Keputusan Pembelian Kopi Instan Good Day Di Kota Surakarta</v>
      </c>
      <c r="C471" s="7">
        <f>IFERROR(__xludf.DUMMYFUNCTION("""COMPUTED_VALUE"""),2022.0)</f>
        <v>2022</v>
      </c>
      <c r="D471" s="8" t="str">
        <f>IFERROR(__xludf.DUMMYFUNCTION("""COMPUTED_VALUE"""),"2022/2023")</f>
        <v>2022/2023</v>
      </c>
      <c r="E471" s="9">
        <f>IFERROR(__xludf.DUMMYFUNCTION("""COMPUTED_VALUE"""),44827.0)</f>
        <v>44827</v>
      </c>
      <c r="F471" s="5" t="str">
        <f>IFERROR(__xludf.DUMMYFUNCTION("""COMPUTED_VALUE"""),"Ganjil")</f>
        <v>Ganjil</v>
      </c>
      <c r="G471" s="5" t="str">
        <f>IFERROR(__xludf.DUMMYFUNCTION("""COMPUTED_VALUE"""),"Manajemen")</f>
        <v>Manajemen</v>
      </c>
      <c r="H471" s="10" t="str">
        <f>IFERROR(__xludf.DUMMYFUNCTION("""COMPUTED_VALUE"""),"Mahasiswa")</f>
        <v>Mahasiswa</v>
      </c>
      <c r="I471" s="6" t="str">
        <f>IFERROR(__xludf.DUMMYFUNCTION("""COMPUTED_VALUE"""),"Nindyopintoko Juan L. P.")</f>
        <v>Nindyopintoko Juan L. P.</v>
      </c>
      <c r="J471" s="6" t="str">
        <f>IFERROR(__xludf.DUMMYFUNCTION("""COMPUTED_VALUE"""),"Muhammad Jalari")</f>
        <v>Muhammad Jalari</v>
      </c>
      <c r="K471" s="6"/>
      <c r="L471" s="6"/>
      <c r="M471" s="6"/>
      <c r="N471" s="6"/>
      <c r="O471" s="6"/>
      <c r="P471" s="10" t="str">
        <f>IFERROR(__xludf.DUMMYFUNCTION("""COMPUTED_VALUE"""),"Nindyopintoko Juan L. P.,Muhammad Jalari,,")</f>
        <v>Nindyopintoko Juan L. P.,Muhammad Jalari,,</v>
      </c>
      <c r="Q471" s="11" t="str">
        <f>IFERROR(__xludf.DUMMYFUNCTION("""COMPUTED_VALUE"""),"https://jurnal.stietrisnanegara.ac.id/index.php/aktual/article/view/222")</f>
        <v>https://jurnal.stietrisnanegara.ac.id/index.php/aktual/article/view/222</v>
      </c>
      <c r="R471" s="6"/>
    </row>
    <row r="472">
      <c r="A472" s="5">
        <f>IFERROR(__xludf.DUMMYFUNCTION("""COMPUTED_VALUE"""),471.0)</f>
        <v>471</v>
      </c>
      <c r="B472" s="6" t="str">
        <f>IFERROR(__xludf.DUMMYFUNCTION("""COMPUTED_VALUE"""),"Inovasi Produk, Harga, Word Of Mouth Dan Promosi Terhadap Keputusan Pembelian Honda")</f>
        <v>Inovasi Produk, Harga, Word Of Mouth Dan Promosi Terhadap Keputusan Pembelian Honda</v>
      </c>
      <c r="C472" s="7">
        <f>IFERROR(__xludf.DUMMYFUNCTION("""COMPUTED_VALUE"""),2022.0)</f>
        <v>2022</v>
      </c>
      <c r="D472" s="8" t="str">
        <f>IFERROR(__xludf.DUMMYFUNCTION("""COMPUTED_VALUE"""),"2022/2023")</f>
        <v>2022/2023</v>
      </c>
      <c r="E472" s="9">
        <f>IFERROR(__xludf.DUMMYFUNCTION("""COMPUTED_VALUE"""),44828.0)</f>
        <v>44828</v>
      </c>
      <c r="F472" s="5" t="str">
        <f>IFERROR(__xludf.DUMMYFUNCTION("""COMPUTED_VALUE"""),"Ganjil")</f>
        <v>Ganjil</v>
      </c>
      <c r="G472" s="5" t="str">
        <f>IFERROR(__xludf.DUMMYFUNCTION("""COMPUTED_VALUE"""),"Manajemen")</f>
        <v>Manajemen</v>
      </c>
      <c r="H472" s="10" t="str">
        <f>IFERROR(__xludf.DUMMYFUNCTION("""COMPUTED_VALUE"""),"Mahasiswa")</f>
        <v>Mahasiswa</v>
      </c>
      <c r="I472" s="6" t="str">
        <f>IFERROR(__xludf.DUMMYFUNCTION("""COMPUTED_VALUE"""),"Supriyadi Muhammad Noor")</f>
        <v>Supriyadi Muhammad Noor</v>
      </c>
      <c r="J472" s="6" t="str">
        <f>IFERROR(__xludf.DUMMYFUNCTION("""COMPUTED_VALUE"""),"Christiawan Hendratmoko")</f>
        <v>Christiawan Hendratmoko</v>
      </c>
      <c r="K472" s="6"/>
      <c r="L472" s="6"/>
      <c r="M472" s="6"/>
      <c r="N472" s="6"/>
      <c r="O472" s="6"/>
      <c r="P472" s="10" t="str">
        <f>IFERROR(__xludf.DUMMYFUNCTION("""COMPUTED_VALUE"""),"Supriyadi Muhammad Noor,Christiawan Hendratmoko,,")</f>
        <v>Supriyadi Muhammad Noor,Christiawan Hendratmoko,,</v>
      </c>
      <c r="Q472" s="11" t="str">
        <f>IFERROR(__xludf.DUMMYFUNCTION("""COMPUTED_VALUE"""),"https://ejournal.utmj.ac.id/ekobis/article/view/608")</f>
        <v>https://ejournal.utmj.ac.id/ekobis/article/view/608</v>
      </c>
      <c r="R472" s="6"/>
    </row>
    <row r="473">
      <c r="A473" s="5">
        <f>IFERROR(__xludf.DUMMYFUNCTION("""COMPUTED_VALUE"""),472.0)</f>
        <v>472</v>
      </c>
      <c r="B473" s="6" t="str">
        <f>IFERROR(__xludf.DUMMYFUNCTION("""COMPUTED_VALUE"""),"PERAN EKONOMI KREATIF DALAM MENINGKATKAN PERDAPATAN UMKM PUSAT GROSIR SOLO DI MASA PANDEMI COVID 19")</f>
        <v>PERAN EKONOMI KREATIF DALAM MENINGKATKAN PERDAPATAN UMKM PUSAT GROSIR SOLO DI MASA PANDEMI COVID 19</v>
      </c>
      <c r="C473" s="7">
        <f>IFERROR(__xludf.DUMMYFUNCTION("""COMPUTED_VALUE"""),2022.0)</f>
        <v>2022</v>
      </c>
      <c r="D473" s="8" t="str">
        <f>IFERROR(__xludf.DUMMYFUNCTION("""COMPUTED_VALUE"""),"2022/2023")</f>
        <v>2022/2023</v>
      </c>
      <c r="E473" s="9">
        <f>IFERROR(__xludf.DUMMYFUNCTION("""COMPUTED_VALUE"""),44841.0)</f>
        <v>44841</v>
      </c>
      <c r="F473" s="5" t="str">
        <f>IFERROR(__xludf.DUMMYFUNCTION("""COMPUTED_VALUE"""),"Ganjil")</f>
        <v>Ganjil</v>
      </c>
      <c r="G473" s="5" t="str">
        <f>IFERROR(__xludf.DUMMYFUNCTION("""COMPUTED_VALUE"""),"Akuntansi")</f>
        <v>Akuntansi</v>
      </c>
      <c r="H473" s="10" t="str">
        <f>IFERROR(__xludf.DUMMYFUNCTION("""COMPUTED_VALUE"""),"Mahasiswa")</f>
        <v>Mahasiswa</v>
      </c>
      <c r="I473" s="6" t="str">
        <f>IFERROR(__xludf.DUMMYFUNCTION("""COMPUTED_VALUE"""),"Dhany Prasetyo")</f>
        <v>Dhany Prasetyo</v>
      </c>
      <c r="J473" s="6" t="str">
        <f>IFERROR(__xludf.DUMMYFUNCTION("""COMPUTED_VALUE"""),"Ismunawan")</f>
        <v>Ismunawan</v>
      </c>
      <c r="K473" s="6"/>
      <c r="L473" s="6"/>
      <c r="M473" s="6"/>
      <c r="N473" s="6"/>
      <c r="O473" s="6"/>
      <c r="P473" s="10" t="str">
        <f>IFERROR(__xludf.DUMMYFUNCTION("""COMPUTED_VALUE"""),"Dhany Prasetyo,Ismunawan,,")</f>
        <v>Dhany Prasetyo,Ismunawan,,</v>
      </c>
      <c r="Q473" s="11" t="str">
        <f>IFERROR(__xludf.DUMMYFUNCTION("""COMPUTED_VALUE"""),"https://jurnal.risetilmiah.ac.id/index.php/jak/article/view/153")</f>
        <v>https://jurnal.risetilmiah.ac.id/index.php/jak/article/view/153</v>
      </c>
      <c r="R473" s="6"/>
    </row>
    <row r="474">
      <c r="A474" s="5">
        <f>IFERROR(__xludf.DUMMYFUNCTION("""COMPUTED_VALUE"""),473.0)</f>
        <v>473</v>
      </c>
      <c r="B474" s="6" t="str">
        <f>IFERROR(__xludf.DUMMYFUNCTION("""COMPUTED_VALUE"""),"Faktor-Faktor Yang Mempengaruhi Penerapan Sak Emkm Pada Umkm Di Desa Kebak")</f>
        <v>Faktor-Faktor Yang Mempengaruhi Penerapan Sak Emkm Pada Umkm Di Desa Kebak</v>
      </c>
      <c r="C474" s="7">
        <f>IFERROR(__xludf.DUMMYFUNCTION("""COMPUTED_VALUE"""),2022.0)</f>
        <v>2022</v>
      </c>
      <c r="D474" s="8" t="str">
        <f>IFERROR(__xludf.DUMMYFUNCTION("""COMPUTED_VALUE"""),"2022/2023")</f>
        <v>2022/2023</v>
      </c>
      <c r="E474" s="9">
        <f>IFERROR(__xludf.DUMMYFUNCTION("""COMPUTED_VALUE"""),44851.0)</f>
        <v>44851</v>
      </c>
      <c r="F474" s="5" t="str">
        <f>IFERROR(__xludf.DUMMYFUNCTION("""COMPUTED_VALUE"""),"Ganjil")</f>
        <v>Ganjil</v>
      </c>
      <c r="G474" s="5" t="str">
        <f>IFERROR(__xludf.DUMMYFUNCTION("""COMPUTED_VALUE"""),"Akuntansi")</f>
        <v>Akuntansi</v>
      </c>
      <c r="H474" s="10" t="str">
        <f>IFERROR(__xludf.DUMMYFUNCTION("""COMPUTED_VALUE"""),"Mahasiswa")</f>
        <v>Mahasiswa</v>
      </c>
      <c r="I474" s="6" t="str">
        <f>IFERROR(__xludf.DUMMYFUNCTION("""COMPUTED_VALUE"""),"Rohmad Bakdiyanto")</f>
        <v>Rohmad Bakdiyanto</v>
      </c>
      <c r="J474" s="6" t="str">
        <f>IFERROR(__xludf.DUMMYFUNCTION("""COMPUTED_VALUE"""),"Ismunawan")</f>
        <v>Ismunawan</v>
      </c>
      <c r="K474" s="6"/>
      <c r="L474" s="6"/>
      <c r="M474" s="6"/>
      <c r="N474" s="6"/>
      <c r="O474" s="6"/>
      <c r="P474" s="10" t="str">
        <f>IFERROR(__xludf.DUMMYFUNCTION("""COMPUTED_VALUE"""),"Rohmad Bakdiyanto,Ismunawan,,")</f>
        <v>Rohmad Bakdiyanto,Ismunawan,,</v>
      </c>
      <c r="Q474" s="11" t="str">
        <f>IFERROR(__xludf.DUMMYFUNCTION("""COMPUTED_VALUE"""),"https://ejournal.nusantaraglobal.ac.id/index.php/sentri/article/view/258")</f>
        <v>https://ejournal.nusantaraglobal.ac.id/index.php/sentri/article/view/258</v>
      </c>
      <c r="R474" s="6"/>
    </row>
    <row r="475">
      <c r="A475" s="5">
        <f>IFERROR(__xludf.DUMMYFUNCTION("""COMPUTED_VALUE"""),474.0)</f>
        <v>474</v>
      </c>
      <c r="B475" s="6" t="str">
        <f>IFERROR(__xludf.DUMMYFUNCTION("""COMPUTED_VALUE"""),"Faktor-Faktor Yang Mempengaruhi Penerapan Sak Emkm Pada Umkm Batik Di Surakarta")</f>
        <v>Faktor-Faktor Yang Mempengaruhi Penerapan Sak Emkm Pada Umkm Batik Di Surakarta</v>
      </c>
      <c r="C475" s="7">
        <f>IFERROR(__xludf.DUMMYFUNCTION("""COMPUTED_VALUE"""),2022.0)</f>
        <v>2022</v>
      </c>
      <c r="D475" s="8" t="str">
        <f>IFERROR(__xludf.DUMMYFUNCTION("""COMPUTED_VALUE"""),"2022/2023")</f>
        <v>2022/2023</v>
      </c>
      <c r="E475" s="9">
        <f>IFERROR(__xludf.DUMMYFUNCTION("""COMPUTED_VALUE"""),44851.0)</f>
        <v>44851</v>
      </c>
      <c r="F475" s="5" t="str">
        <f>IFERROR(__xludf.DUMMYFUNCTION("""COMPUTED_VALUE"""),"Ganjil")</f>
        <v>Ganjil</v>
      </c>
      <c r="G475" s="5" t="str">
        <f>IFERROR(__xludf.DUMMYFUNCTION("""COMPUTED_VALUE"""),"Akuntansi")</f>
        <v>Akuntansi</v>
      </c>
      <c r="H475" s="10" t="str">
        <f>IFERROR(__xludf.DUMMYFUNCTION("""COMPUTED_VALUE"""),"Mahasiswa")</f>
        <v>Mahasiswa</v>
      </c>
      <c r="I475" s="6" t="str">
        <f>IFERROR(__xludf.DUMMYFUNCTION("""COMPUTED_VALUE"""),"Suvia Putri Anjani")</f>
        <v>Suvia Putri Anjani</v>
      </c>
      <c r="J475" s="6" t="str">
        <f>IFERROR(__xludf.DUMMYFUNCTION("""COMPUTED_VALUE"""),"Astuning Saharsini")</f>
        <v>Astuning Saharsini</v>
      </c>
      <c r="K475" s="6"/>
      <c r="L475" s="6"/>
      <c r="M475" s="6"/>
      <c r="N475" s="6"/>
      <c r="O475" s="6"/>
      <c r="P475" s="10" t="str">
        <f>IFERROR(__xludf.DUMMYFUNCTION("""COMPUTED_VALUE"""),"Suvia Putri Anjani,Astuning Saharsini,,")</f>
        <v>Suvia Putri Anjani,Astuning Saharsini,,</v>
      </c>
      <c r="Q475" s="11" t="str">
        <f>IFERROR(__xludf.DUMMYFUNCTION("""COMPUTED_VALUE"""),"https://ejournal.nusantaraglobal.ac.id/index.php/sentri/article/view/257")</f>
        <v>https://ejournal.nusantaraglobal.ac.id/index.php/sentri/article/view/257</v>
      </c>
      <c r="R475" s="6"/>
    </row>
    <row r="476">
      <c r="A476" s="5">
        <f>IFERROR(__xludf.DUMMYFUNCTION("""COMPUTED_VALUE"""),475.0)</f>
        <v>475</v>
      </c>
      <c r="B476" s="6" t="str">
        <f>IFERROR(__xludf.DUMMYFUNCTION("""COMPUTED_VALUE"""),"PENGARUH MOTIVASI KERJA DAN LINGKUNGAN KERJA MELALUI DISIPLIN KERJA TERHADAP KINERJA KARYAWAN PT. DOLPHIN PUTRA SEJATI SUKOHARJO")</f>
        <v>PENGARUH MOTIVASI KERJA DAN LINGKUNGAN KERJA MELALUI DISIPLIN KERJA TERHADAP KINERJA KARYAWAN PT. DOLPHIN PUTRA SEJATI SUKOHARJO</v>
      </c>
      <c r="C476" s="7">
        <f>IFERROR(__xludf.DUMMYFUNCTION("""COMPUTED_VALUE"""),2022.0)</f>
        <v>2022</v>
      </c>
      <c r="D476" s="8" t="str">
        <f>IFERROR(__xludf.DUMMYFUNCTION("""COMPUTED_VALUE"""),"2022/2023")</f>
        <v>2022/2023</v>
      </c>
      <c r="E476" s="9">
        <f>IFERROR(__xludf.DUMMYFUNCTION("""COMPUTED_VALUE"""),44861.0)</f>
        <v>44861</v>
      </c>
      <c r="F476" s="5" t="str">
        <f>IFERROR(__xludf.DUMMYFUNCTION("""COMPUTED_VALUE"""),"Ganjil")</f>
        <v>Ganjil</v>
      </c>
      <c r="G476" s="5" t="str">
        <f>IFERROR(__xludf.DUMMYFUNCTION("""COMPUTED_VALUE"""),"Manajemen")</f>
        <v>Manajemen</v>
      </c>
      <c r="H476" s="10" t="str">
        <f>IFERROR(__xludf.DUMMYFUNCTION("""COMPUTED_VALUE"""),"Mahasiswa")</f>
        <v>Mahasiswa</v>
      </c>
      <c r="I476" s="6" t="str">
        <f>IFERROR(__xludf.DUMMYFUNCTION("""COMPUTED_VALUE"""),"Istianti")</f>
        <v>Istianti</v>
      </c>
      <c r="J476" s="6" t="str">
        <f>IFERROR(__xludf.DUMMYFUNCTION("""COMPUTED_VALUE"""),"Ari Susanti")</f>
        <v>Ari Susanti</v>
      </c>
      <c r="K476" s="6" t="str">
        <f>IFERROR(__xludf.DUMMYFUNCTION("""COMPUTED_VALUE"""),"Fithri Setya Marwati")</f>
        <v>Fithri Setya Marwati</v>
      </c>
      <c r="L476" s="6"/>
      <c r="M476" s="6"/>
      <c r="N476" s="6"/>
      <c r="O476" s="6"/>
      <c r="P476" s="10" t="str">
        <f>IFERROR(__xludf.DUMMYFUNCTION("""COMPUTED_VALUE"""),"Istianti,Ari Susanti,Fithri Setya Marwati,")</f>
        <v>Istianti,Ari Susanti,Fithri Setya Marwati,</v>
      </c>
      <c r="Q476" s="11" t="str">
        <f>IFERROR(__xludf.DUMMYFUNCTION("""COMPUTED_VALUE"""),"https://drive.google.com/file/d/11jiqq1JDi9UmxTBISg2W801w1y12ty8L/view?usp=drive_link")</f>
        <v>https://drive.google.com/file/d/11jiqq1JDi9UmxTBISg2W801w1y12ty8L/view?usp=drive_link</v>
      </c>
      <c r="R476" s="6"/>
    </row>
    <row r="477">
      <c r="A477" s="5">
        <f>IFERROR(__xludf.DUMMYFUNCTION("""COMPUTED_VALUE"""),476.0)</f>
        <v>476</v>
      </c>
      <c r="B477" s="6" t="str">
        <f>IFERROR(__xludf.DUMMYFUNCTION("""COMPUTED_VALUE"""),"PENGARUH TINGKAT PENDIDIKAN, PEMAHAMAN AKUNTANSI, KEMAJUAN TEKNOLOGI TERHADAP PENERAPAN AKUNTANSI SAK EMKM PADA UMKM BATIK DI KOTA SURAKARTA")</f>
        <v>PENGARUH TINGKAT PENDIDIKAN, PEMAHAMAN AKUNTANSI, KEMAJUAN TEKNOLOGI TERHADAP PENERAPAN AKUNTANSI SAK EMKM PADA UMKM BATIK DI KOTA SURAKARTA</v>
      </c>
      <c r="C477" s="7">
        <f>IFERROR(__xludf.DUMMYFUNCTION("""COMPUTED_VALUE"""),2022.0)</f>
        <v>2022</v>
      </c>
      <c r="D477" s="8" t="str">
        <f>IFERROR(__xludf.DUMMYFUNCTION("""COMPUTED_VALUE"""),"2022/2023")</f>
        <v>2022/2023</v>
      </c>
      <c r="E477" s="9">
        <f>IFERROR(__xludf.DUMMYFUNCTION("""COMPUTED_VALUE"""),44862.0)</f>
        <v>44862</v>
      </c>
      <c r="F477" s="5" t="str">
        <f>IFERROR(__xludf.DUMMYFUNCTION("""COMPUTED_VALUE"""),"Ganjil")</f>
        <v>Ganjil</v>
      </c>
      <c r="G477" s="5" t="str">
        <f>IFERROR(__xludf.DUMMYFUNCTION("""COMPUTED_VALUE"""),"Akuntansi")</f>
        <v>Akuntansi</v>
      </c>
      <c r="H477" s="10" t="str">
        <f>IFERROR(__xludf.DUMMYFUNCTION("""COMPUTED_VALUE"""),"Mahasiswa")</f>
        <v>Mahasiswa</v>
      </c>
      <c r="I477" s="6" t="str">
        <f>IFERROR(__xludf.DUMMYFUNCTION("""COMPUTED_VALUE"""),"Salahudin Alayubi")</f>
        <v>Salahudin Alayubi</v>
      </c>
      <c r="J477" s="6" t="str">
        <f>IFERROR(__xludf.DUMMYFUNCTION("""COMPUTED_VALUE"""),"Eko Triyanto")</f>
        <v>Eko Triyanto</v>
      </c>
      <c r="K477" s="6"/>
      <c r="L477" s="6"/>
      <c r="M477" s="6"/>
      <c r="N477" s="6"/>
      <c r="O477" s="6"/>
      <c r="P477" s="10" t="str">
        <f>IFERROR(__xludf.DUMMYFUNCTION("""COMPUTED_VALUE"""),"Salahudin Alayubi,Eko Triyanto,,")</f>
        <v>Salahudin Alayubi,Eko Triyanto,,</v>
      </c>
      <c r="Q477" s="11" t="str">
        <f>IFERROR(__xludf.DUMMYFUNCTION("""COMPUTED_VALUE"""),"https://jurnal.risetilmiah.ac.id/index.php/jak/article/view/166")</f>
        <v>https://jurnal.risetilmiah.ac.id/index.php/jak/article/view/166</v>
      </c>
      <c r="R477" s="6"/>
    </row>
    <row r="478">
      <c r="A478" s="5">
        <f>IFERROR(__xludf.DUMMYFUNCTION("""COMPUTED_VALUE"""),477.0)</f>
        <v>477</v>
      </c>
      <c r="B478" s="6" t="str">
        <f>IFERROR(__xludf.DUMMYFUNCTION("""COMPUTED_VALUE"""),"KOMPETENSI, KOMPENSASI, DISIPLIN, MOTIVASI DAN LINGKUNGAN KERJA TERHADAP KINERJA KARYAWAN PADA PP KERJA SAWIT BOYOLALI")</f>
        <v>KOMPETENSI, KOMPENSASI, DISIPLIN, MOTIVASI DAN LINGKUNGAN KERJA TERHADAP KINERJA KARYAWAN PADA PP KERJA SAWIT BOYOLALI</v>
      </c>
      <c r="C478" s="7">
        <f>IFERROR(__xludf.DUMMYFUNCTION("""COMPUTED_VALUE"""),2022.0)</f>
        <v>2022</v>
      </c>
      <c r="D478" s="8" t="str">
        <f>IFERROR(__xludf.DUMMYFUNCTION("""COMPUTED_VALUE"""),"2022/2023")</f>
        <v>2022/2023</v>
      </c>
      <c r="E478" s="9">
        <f>IFERROR(__xludf.DUMMYFUNCTION("""COMPUTED_VALUE"""),44864.0)</f>
        <v>44864</v>
      </c>
      <c r="F478" s="5" t="str">
        <f>IFERROR(__xludf.DUMMYFUNCTION("""COMPUTED_VALUE"""),"Ganjil")</f>
        <v>Ganjil</v>
      </c>
      <c r="G478" s="5" t="str">
        <f>IFERROR(__xludf.DUMMYFUNCTION("""COMPUTED_VALUE"""),"Manajemen")</f>
        <v>Manajemen</v>
      </c>
      <c r="H478" s="10" t="str">
        <f>IFERROR(__xludf.DUMMYFUNCTION("""COMPUTED_VALUE"""),"Mahasiswa")</f>
        <v>Mahasiswa</v>
      </c>
      <c r="I478" s="6" t="str">
        <f>IFERROR(__xludf.DUMMYFUNCTION("""COMPUTED_VALUE"""),"NOREEN SAFIRA FANI BUDIMAN")</f>
        <v>NOREEN SAFIRA FANI BUDIMAN</v>
      </c>
      <c r="J478" s="6" t="str">
        <f>IFERROR(__xludf.DUMMYFUNCTION("""COMPUTED_VALUE"""),"Heny Kurnianingsih")</f>
        <v>Heny Kurnianingsih</v>
      </c>
      <c r="K478" s="6"/>
      <c r="L478" s="6"/>
      <c r="M478" s="6"/>
      <c r="N478" s="6"/>
      <c r="O478" s="6"/>
      <c r="P478" s="10" t="str">
        <f>IFERROR(__xludf.DUMMYFUNCTION("""COMPUTED_VALUE"""),"NOREEN SAFIRA FANI BUDIMAN,Heny Kurnianingsih,,")</f>
        <v>NOREEN SAFIRA FANI BUDIMAN,Heny Kurnianingsih,,</v>
      </c>
      <c r="Q478" s="11" t="str">
        <f>IFERROR(__xludf.DUMMYFUNCTION("""COMPUTED_VALUE"""),"https://bajangjournal.com/index.php/Juremi/article/view/3789")</f>
        <v>https://bajangjournal.com/index.php/Juremi/article/view/3789</v>
      </c>
      <c r="R478" s="6"/>
    </row>
    <row r="479">
      <c r="A479" s="5">
        <f>IFERROR(__xludf.DUMMYFUNCTION("""COMPUTED_VALUE"""),478.0)</f>
        <v>478</v>
      </c>
      <c r="B479" s="6" t="str">
        <f>IFERROR(__xludf.DUMMYFUNCTION("""COMPUTED_VALUE"""),"ANALISIS PENYUSUNAN LAPORAN KEUANGAN PADA UMKM DI SUKOHARJO")</f>
        <v>ANALISIS PENYUSUNAN LAPORAN KEUANGAN PADA UMKM DI SUKOHARJO</v>
      </c>
      <c r="C479" s="7">
        <f>IFERROR(__xludf.DUMMYFUNCTION("""COMPUTED_VALUE"""),2022.0)</f>
        <v>2022</v>
      </c>
      <c r="D479" s="8" t="str">
        <f>IFERROR(__xludf.DUMMYFUNCTION("""COMPUTED_VALUE"""),"2022/2023")</f>
        <v>2022/2023</v>
      </c>
      <c r="E479" s="9">
        <f>IFERROR(__xludf.DUMMYFUNCTION("""COMPUTED_VALUE"""),44864.0)</f>
        <v>44864</v>
      </c>
      <c r="F479" s="5" t="str">
        <f>IFERROR(__xludf.DUMMYFUNCTION("""COMPUTED_VALUE"""),"Ganjil")</f>
        <v>Ganjil</v>
      </c>
      <c r="G479" s="5" t="str">
        <f>IFERROR(__xludf.DUMMYFUNCTION("""COMPUTED_VALUE"""),"Akuntansi")</f>
        <v>Akuntansi</v>
      </c>
      <c r="H479" s="10" t="str">
        <f>IFERROR(__xludf.DUMMYFUNCTION("""COMPUTED_VALUE"""),"Mahasiswa")</f>
        <v>Mahasiswa</v>
      </c>
      <c r="I479" s="6" t="str">
        <f>IFERROR(__xludf.DUMMYFUNCTION("""COMPUTED_VALUE"""),"Ayu Nindy Pramesti")</f>
        <v>Ayu Nindy Pramesti</v>
      </c>
      <c r="J479" s="6" t="str">
        <f>IFERROR(__xludf.DUMMYFUNCTION("""COMPUTED_VALUE"""),"Ismunawan")</f>
        <v>Ismunawan</v>
      </c>
      <c r="K479" s="6"/>
      <c r="L479" s="6"/>
      <c r="M479" s="6"/>
      <c r="N479" s="6"/>
      <c r="O479" s="6"/>
      <c r="P479" s="10" t="str">
        <f>IFERROR(__xludf.DUMMYFUNCTION("""COMPUTED_VALUE"""),"Ayu Nindy Pramesti,Ismunawan,,")</f>
        <v>Ayu Nindy Pramesti,Ismunawan,,</v>
      </c>
      <c r="Q479" s="11" t="str">
        <f>IFERROR(__xludf.DUMMYFUNCTION("""COMPUTED_VALUE"""),"https://bajangjournal.com/index.php/Juremi/article/view/3791")</f>
        <v>https://bajangjournal.com/index.php/Juremi/article/view/3791</v>
      </c>
      <c r="R479" s="6"/>
    </row>
    <row r="480">
      <c r="A480" s="5">
        <f>IFERROR(__xludf.DUMMYFUNCTION("""COMPUTED_VALUE"""),479.0)</f>
        <v>479</v>
      </c>
      <c r="B480" s="6" t="str">
        <f>IFERROR(__xludf.DUMMYFUNCTION("""COMPUTED_VALUE"""),"Analisis Pengaruh Citra Merek, Desain Produk dan Gaya Hidup Terhadap Keputusan Pembelian Motor Vespa Di Sukoharjo")</f>
        <v>Analisis Pengaruh Citra Merek, Desain Produk dan Gaya Hidup Terhadap Keputusan Pembelian Motor Vespa Di Sukoharjo</v>
      </c>
      <c r="C480" s="7">
        <f>IFERROR(__xludf.DUMMYFUNCTION("""COMPUTED_VALUE"""),2022.0)</f>
        <v>2022</v>
      </c>
      <c r="D480" s="8" t="str">
        <f>IFERROR(__xludf.DUMMYFUNCTION("""COMPUTED_VALUE"""),"2022/2023")</f>
        <v>2022/2023</v>
      </c>
      <c r="E480" s="9">
        <f>IFERROR(__xludf.DUMMYFUNCTION("""COMPUTED_VALUE"""),44864.0)</f>
        <v>44864</v>
      </c>
      <c r="F480" s="5" t="str">
        <f>IFERROR(__xludf.DUMMYFUNCTION("""COMPUTED_VALUE"""),"Ganjil")</f>
        <v>Ganjil</v>
      </c>
      <c r="G480" s="5" t="str">
        <f>IFERROR(__xludf.DUMMYFUNCTION("""COMPUTED_VALUE"""),"Manajemen")</f>
        <v>Manajemen</v>
      </c>
      <c r="H480" s="10" t="str">
        <f>IFERROR(__xludf.DUMMYFUNCTION("""COMPUTED_VALUE"""),"Mahasiswa")</f>
        <v>Mahasiswa</v>
      </c>
      <c r="I480" s="6" t="str">
        <f>IFERROR(__xludf.DUMMYFUNCTION("""COMPUTED_VALUE"""),"Dimas Hardian Putra")</f>
        <v>Dimas Hardian Putra</v>
      </c>
      <c r="J480" s="6" t="str">
        <f>IFERROR(__xludf.DUMMYFUNCTION("""COMPUTED_VALUE"""),"Ginanjar Rahmawan")</f>
        <v>Ginanjar Rahmawan</v>
      </c>
      <c r="K480" s="6"/>
      <c r="L480" s="6"/>
      <c r="M480" s="6"/>
      <c r="N480" s="6"/>
      <c r="O480" s="6"/>
      <c r="P480" s="10" t="str">
        <f>IFERROR(__xludf.DUMMYFUNCTION("""COMPUTED_VALUE"""),"Dimas Hardian Putra,Ginanjar Rahmawan,,")</f>
        <v>Dimas Hardian Putra,Ginanjar Rahmawan,,</v>
      </c>
      <c r="Q480" s="11" t="str">
        <f>IFERROR(__xludf.DUMMYFUNCTION("""COMPUTED_VALUE"""),"https://bajangjournal.com/index.php/Juremi/article/view/3850")</f>
        <v>https://bajangjournal.com/index.php/Juremi/article/view/3850</v>
      </c>
      <c r="R480" s="6"/>
    </row>
    <row r="481">
      <c r="A481" s="5">
        <f>IFERROR(__xludf.DUMMYFUNCTION("""COMPUTED_VALUE"""),480.0)</f>
        <v>480</v>
      </c>
      <c r="B481" s="6" t="str">
        <f>IFERROR(__xludf.DUMMYFUNCTION("""COMPUTED_VALUE"""),"Determinan Belanja Modal Kabupaten/Kota di Provinsi Daerah Istimewa Yogyakarta")</f>
        <v>Determinan Belanja Modal Kabupaten/Kota di Provinsi Daerah Istimewa Yogyakarta</v>
      </c>
      <c r="C481" s="7">
        <f>IFERROR(__xludf.DUMMYFUNCTION("""COMPUTED_VALUE"""),2022.0)</f>
        <v>2022</v>
      </c>
      <c r="D481" s="8" t="str">
        <f>IFERROR(__xludf.DUMMYFUNCTION("""COMPUTED_VALUE"""),"2022/2023")</f>
        <v>2022/2023</v>
      </c>
      <c r="E481" s="9">
        <f>IFERROR(__xludf.DUMMYFUNCTION("""COMPUTED_VALUE"""),44864.0)</f>
        <v>44864</v>
      </c>
      <c r="F481" s="5" t="str">
        <f>IFERROR(__xludf.DUMMYFUNCTION("""COMPUTED_VALUE"""),"Ganjil")</f>
        <v>Ganjil</v>
      </c>
      <c r="G481" s="5" t="str">
        <f>IFERROR(__xludf.DUMMYFUNCTION("""COMPUTED_VALUE"""),"Akuntansi")</f>
        <v>Akuntansi</v>
      </c>
      <c r="H481" s="10" t="str">
        <f>IFERROR(__xludf.DUMMYFUNCTION("""COMPUTED_VALUE"""),"Mahasiswa")</f>
        <v>Mahasiswa</v>
      </c>
      <c r="I481" s="6" t="str">
        <f>IFERROR(__xludf.DUMMYFUNCTION("""COMPUTED_VALUE"""),"Intan Yulita Nugroho")</f>
        <v>Intan Yulita Nugroho</v>
      </c>
      <c r="J481" s="6" t="str">
        <f>IFERROR(__xludf.DUMMYFUNCTION("""COMPUTED_VALUE"""),"Ismunawan")</f>
        <v>Ismunawan</v>
      </c>
      <c r="K481" s="6"/>
      <c r="L481" s="6"/>
      <c r="M481" s="6"/>
      <c r="N481" s="6"/>
      <c r="O481" s="6"/>
      <c r="P481" s="10" t="str">
        <f>IFERROR(__xludf.DUMMYFUNCTION("""COMPUTED_VALUE"""),"Intan Yulita Nugroho,Ismunawan,,")</f>
        <v>Intan Yulita Nugroho,Ismunawan,,</v>
      </c>
      <c r="Q481" s="11" t="str">
        <f>IFERROR(__xludf.DUMMYFUNCTION("""COMPUTED_VALUE"""),"https://www.bajangjournal.com/index.php/Juremi/article/view/3788/2818")</f>
        <v>https://www.bajangjournal.com/index.php/Juremi/article/view/3788/2818</v>
      </c>
      <c r="R481" s="6"/>
    </row>
    <row r="482">
      <c r="A482" s="5">
        <f>IFERROR(__xludf.DUMMYFUNCTION("""COMPUTED_VALUE"""),481.0)</f>
        <v>481</v>
      </c>
      <c r="B482" s="6" t="str">
        <f>IFERROR(__xludf.DUMMYFUNCTION("""COMPUTED_VALUE"""),"Analisis Pengaruh Citra Merek, Desaain Produk dan Gaya Hidup Terhadap Keputusan Pembelian Motor Vespa di Sukoharjo")</f>
        <v>Analisis Pengaruh Citra Merek, Desaain Produk dan Gaya Hidup Terhadap Keputusan Pembelian Motor Vespa di Sukoharjo</v>
      </c>
      <c r="C482" s="7">
        <f>IFERROR(__xludf.DUMMYFUNCTION("""COMPUTED_VALUE"""),2022.0)</f>
        <v>2022</v>
      </c>
      <c r="D482" s="8" t="str">
        <f>IFERROR(__xludf.DUMMYFUNCTION("""COMPUTED_VALUE"""),"2022/2023")</f>
        <v>2022/2023</v>
      </c>
      <c r="E482" s="9">
        <f>IFERROR(__xludf.DUMMYFUNCTION("""COMPUTED_VALUE"""),44864.0)</f>
        <v>44864</v>
      </c>
      <c r="F482" s="5" t="str">
        <f>IFERROR(__xludf.DUMMYFUNCTION("""COMPUTED_VALUE"""),"Ganjil")</f>
        <v>Ganjil</v>
      </c>
      <c r="G482" s="5" t="str">
        <f>IFERROR(__xludf.DUMMYFUNCTION("""COMPUTED_VALUE"""),"Manajemen")</f>
        <v>Manajemen</v>
      </c>
      <c r="H482" s="10" t="str">
        <f>IFERROR(__xludf.DUMMYFUNCTION("""COMPUTED_VALUE"""),"Mahasiswa")</f>
        <v>Mahasiswa</v>
      </c>
      <c r="I482" s="6" t="str">
        <f>IFERROR(__xludf.DUMMYFUNCTION("""COMPUTED_VALUE"""),"Dimas Hardian Putra")</f>
        <v>Dimas Hardian Putra</v>
      </c>
      <c r="J482" s="6" t="str">
        <f>IFERROR(__xludf.DUMMYFUNCTION("""COMPUTED_VALUE"""),"Ginanjar Rahmawan")</f>
        <v>Ginanjar Rahmawan</v>
      </c>
      <c r="K482" s="6"/>
      <c r="L482" s="6"/>
      <c r="M482" s="6"/>
      <c r="N482" s="6"/>
      <c r="O482" s="6"/>
      <c r="P482" s="10" t="str">
        <f>IFERROR(__xludf.DUMMYFUNCTION("""COMPUTED_VALUE"""),"Dimas Hardian Putra,Ginanjar Rahmawan,,")</f>
        <v>Dimas Hardian Putra,Ginanjar Rahmawan,,</v>
      </c>
      <c r="Q482" s="11" t="str">
        <f>IFERROR(__xludf.DUMMYFUNCTION("""COMPUTED_VALUE"""),"https://www.bajangjournal.com/index.php/Juremi/article/view/3850/2823")</f>
        <v>https://www.bajangjournal.com/index.php/Juremi/article/view/3850/2823</v>
      </c>
      <c r="R482" s="6"/>
    </row>
    <row r="483">
      <c r="A483" s="5">
        <f>IFERROR(__xludf.DUMMYFUNCTION("""COMPUTED_VALUE"""),482.0)</f>
        <v>482</v>
      </c>
      <c r="B483" s="6" t="str">
        <f>IFERROR(__xludf.DUMMYFUNCTION("""COMPUTED_VALUE"""),"PENGARUH RETURN ON ASSETS (ROA), EARNING PER SHARE (EPS), DAN NET  PROFIT MARGIN (NPM) TERHADAP HARGA SAHAM PADA PERUSAHAAN TEKSTIL DAN GARMENT YANG TERDAFTAR DI BURSA EFEK INDONESIA (BEI)  TAHUN 2017-2020")</f>
        <v>PENGARUH RETURN ON ASSETS (ROA), EARNING PER SHARE (EPS), DAN NET  PROFIT MARGIN (NPM) TERHADAP HARGA SAHAM PADA PERUSAHAAN TEKSTIL DAN GARMENT YANG TERDAFTAR DI BURSA EFEK INDONESIA (BEI)  TAHUN 2017-2020</v>
      </c>
      <c r="C483" s="7">
        <f>IFERROR(__xludf.DUMMYFUNCTION("""COMPUTED_VALUE"""),2022.0)</f>
        <v>2022</v>
      </c>
      <c r="D483" s="8" t="str">
        <f>IFERROR(__xludf.DUMMYFUNCTION("""COMPUTED_VALUE"""),"2022/2023")</f>
        <v>2022/2023</v>
      </c>
      <c r="E483" s="9">
        <f>IFERROR(__xludf.DUMMYFUNCTION("""COMPUTED_VALUE"""),44870.0)</f>
        <v>44870</v>
      </c>
      <c r="F483" s="5" t="str">
        <f>IFERROR(__xludf.DUMMYFUNCTION("""COMPUTED_VALUE"""),"Ganjil")</f>
        <v>Ganjil</v>
      </c>
      <c r="G483" s="5" t="str">
        <f>IFERROR(__xludf.DUMMYFUNCTION("""COMPUTED_VALUE"""),"Akuntansi")</f>
        <v>Akuntansi</v>
      </c>
      <c r="H483" s="10" t="str">
        <f>IFERROR(__xludf.DUMMYFUNCTION("""COMPUTED_VALUE"""),"Mahasiswa")</f>
        <v>Mahasiswa</v>
      </c>
      <c r="I483" s="6" t="str">
        <f>IFERROR(__xludf.DUMMYFUNCTION("""COMPUTED_VALUE"""),"Umi Rahayu")</f>
        <v>Umi Rahayu</v>
      </c>
      <c r="J483" s="6" t="str">
        <f>IFERROR(__xludf.DUMMYFUNCTION("""COMPUTED_VALUE"""),"Eko Triyanto")</f>
        <v>Eko Triyanto</v>
      </c>
      <c r="K483" s="6"/>
      <c r="L483" s="6"/>
      <c r="M483" s="6"/>
      <c r="N483" s="6"/>
      <c r="O483" s="6"/>
      <c r="P483" s="10" t="str">
        <f>IFERROR(__xludf.DUMMYFUNCTION("""COMPUTED_VALUE"""),"Umi Rahayu,Eko Triyanto,,")</f>
        <v>Umi Rahayu,Eko Triyanto,,</v>
      </c>
      <c r="Q483" s="11" t="str">
        <f>IFERROR(__xludf.DUMMYFUNCTION("""COMPUTED_VALUE"""),"https://ejournal.goacademica.com/index.php/jk/article/view/613")</f>
        <v>https://ejournal.goacademica.com/index.php/jk/article/view/613</v>
      </c>
      <c r="R483" s="6"/>
    </row>
    <row r="484">
      <c r="A484" s="5">
        <f>IFERROR(__xludf.DUMMYFUNCTION("""COMPUTED_VALUE"""),483.0)</f>
        <v>483</v>
      </c>
      <c r="B484" s="6" t="str">
        <f>IFERROR(__xludf.DUMMYFUNCTION("""COMPUTED_VALUE"""),"Pendampingan Umkm Ipunk Snack And Coocies Dalam Mempertahankan Dan Meningkatkan Usaha Perekonomian Menggunakan Teknologi Di Masa Pandemi Covid-19")</f>
        <v>Pendampingan Umkm Ipunk Snack And Coocies Dalam Mempertahankan Dan Meningkatkan Usaha Perekonomian Menggunakan Teknologi Di Masa Pandemi Covid-19</v>
      </c>
      <c r="C484" s="7">
        <f>IFERROR(__xludf.DUMMYFUNCTION("""COMPUTED_VALUE"""),2022.0)</f>
        <v>2022</v>
      </c>
      <c r="D484" s="8" t="str">
        <f>IFERROR(__xludf.DUMMYFUNCTION("""COMPUTED_VALUE"""),"2022/2023")</f>
        <v>2022/2023</v>
      </c>
      <c r="E484" s="9">
        <f>IFERROR(__xludf.DUMMYFUNCTION("""COMPUTED_VALUE"""),44870.0)</f>
        <v>44870</v>
      </c>
      <c r="F484" s="5" t="str">
        <f>IFERROR(__xludf.DUMMYFUNCTION("""COMPUTED_VALUE"""),"Ganjil")</f>
        <v>Ganjil</v>
      </c>
      <c r="G484" s="5" t="str">
        <f>IFERROR(__xludf.DUMMYFUNCTION("""COMPUTED_VALUE"""),"")</f>
        <v/>
      </c>
      <c r="H484" s="10" t="str">
        <f>IFERROR(__xludf.DUMMYFUNCTION("""COMPUTED_VALUE"""),"Dosen")</f>
        <v>Dosen</v>
      </c>
      <c r="I484" s="6" t="str">
        <f>IFERROR(__xludf.DUMMYFUNCTION("""COMPUTED_VALUE"""),"Andi Saryoko")</f>
        <v>Andi Saryoko</v>
      </c>
      <c r="J484" s="6" t="str">
        <f>IFERROR(__xludf.DUMMYFUNCTION("""COMPUTED_VALUE"""),"Susafa'ati")</f>
        <v>Susafa'ati</v>
      </c>
      <c r="K484" s="6" t="str">
        <f>IFERROR(__xludf.DUMMYFUNCTION("""COMPUTED_VALUE"""),"Ardiansyah Ardiansyah")</f>
        <v>Ardiansyah Ardiansyah</v>
      </c>
      <c r="L484" s="6" t="str">
        <f>IFERROR(__xludf.DUMMYFUNCTION("""COMPUTED_VALUE"""),"Nur Kholis")</f>
        <v>Nur Kholis</v>
      </c>
      <c r="M484" s="6"/>
      <c r="N484" s="6"/>
      <c r="O484" s="6"/>
      <c r="P484" s="10" t="str">
        <f>IFERROR(__xludf.DUMMYFUNCTION("""COMPUTED_VALUE"""),"Andi Saryoko,Susafa'ati,Ardiansyah Ardiansyah,Nur Kholis")</f>
        <v>Andi Saryoko,Susafa'ati,Ardiansyah Ardiansyah,Nur Kholis</v>
      </c>
      <c r="Q484" s="11" t="str">
        <f>IFERROR(__xludf.DUMMYFUNCTION("""COMPUTED_VALUE"""),"https://jurnal.bsi.ac.id/index.php/abdi-ekbis/article/view/245")</f>
        <v>https://jurnal.bsi.ac.id/index.php/abdi-ekbis/article/view/245</v>
      </c>
      <c r="R484" s="6"/>
    </row>
    <row r="485">
      <c r="A485" s="5">
        <f>IFERROR(__xludf.DUMMYFUNCTION("""COMPUTED_VALUE"""),484.0)</f>
        <v>484</v>
      </c>
      <c r="B485" s="6" t="str">
        <f>IFERROR(__xludf.DUMMYFUNCTION("""COMPUTED_VALUE"""),"PENGARUH PENGETAHUAN WAJIB PAJAK, KESADARAN WAJIB PAJAK, SANKSI PAJAK KENDARAAN BERMOTOR DAN TINGKAT PENGHASILAN TERHADAP KEPATUHAN WAJIB PAJAK KENDARAAN BERMOTOR")</f>
        <v>PENGARUH PENGETAHUAN WAJIB PAJAK, KESADARAN WAJIB PAJAK, SANKSI PAJAK KENDARAAN BERMOTOR DAN TINGKAT PENGHASILAN TERHADAP KEPATUHAN WAJIB PAJAK KENDARAAN BERMOTOR</v>
      </c>
      <c r="C485" s="7">
        <f>IFERROR(__xludf.DUMMYFUNCTION("""COMPUTED_VALUE"""),2022.0)</f>
        <v>2022</v>
      </c>
      <c r="D485" s="8" t="str">
        <f>IFERROR(__xludf.DUMMYFUNCTION("""COMPUTED_VALUE"""),"2022/2023")</f>
        <v>2022/2023</v>
      </c>
      <c r="E485" s="9">
        <f>IFERROR(__xludf.DUMMYFUNCTION("""COMPUTED_VALUE"""),44884.0)</f>
        <v>44884</v>
      </c>
      <c r="F485" s="5" t="str">
        <f>IFERROR(__xludf.DUMMYFUNCTION("""COMPUTED_VALUE"""),"Ganjil")</f>
        <v>Ganjil</v>
      </c>
      <c r="G485" s="5" t="str">
        <f>IFERROR(__xludf.DUMMYFUNCTION("""COMPUTED_VALUE"""),"Akuntansi")</f>
        <v>Akuntansi</v>
      </c>
      <c r="H485" s="10" t="str">
        <f>IFERROR(__xludf.DUMMYFUNCTION("""COMPUTED_VALUE"""),"Mahasiswa")</f>
        <v>Mahasiswa</v>
      </c>
      <c r="I485" s="6" t="str">
        <f>IFERROR(__xludf.DUMMYFUNCTION("""COMPUTED_VALUE"""),"FITRIA NUR NAHARI")</f>
        <v>FITRIA NUR NAHARI</v>
      </c>
      <c r="J485" s="6" t="str">
        <f>IFERROR(__xludf.DUMMYFUNCTION("""COMPUTED_VALUE"""),"Rosita")</f>
        <v>Rosita</v>
      </c>
      <c r="K485" s="6"/>
      <c r="L485" s="6"/>
      <c r="M485" s="6"/>
      <c r="N485" s="6"/>
      <c r="O485" s="6"/>
      <c r="P485" s="10" t="str">
        <f>IFERROR(__xludf.DUMMYFUNCTION("""COMPUTED_VALUE"""),"FITRIA NUR NAHARI,Rosita,,")</f>
        <v>FITRIA NUR NAHARI,Rosita,,</v>
      </c>
      <c r="Q485" s="11" t="str">
        <f>IFERROR(__xludf.DUMMYFUNCTION("""COMPUTED_VALUE"""),"https://journalshub.org/index.php/jebaku/article/view/681")</f>
        <v>https://journalshub.org/index.php/jebaku/article/view/681</v>
      </c>
      <c r="R485" s="6"/>
    </row>
    <row r="486">
      <c r="A486" s="5">
        <f>IFERROR(__xludf.DUMMYFUNCTION("""COMPUTED_VALUE"""),485.0)</f>
        <v>485</v>
      </c>
      <c r="B486" s="6" t="str">
        <f>IFERROR(__xludf.DUMMYFUNCTION("""COMPUTED_VALUE"""),"Analisa Determinasi Yang Mempengaruhi Kualitas Laporan Keuangan Umkm Pada Pasar Klewer Surakarta")</f>
        <v>Analisa Determinasi Yang Mempengaruhi Kualitas Laporan Keuangan Umkm Pada Pasar Klewer Surakarta</v>
      </c>
      <c r="C486" s="7">
        <f>IFERROR(__xludf.DUMMYFUNCTION("""COMPUTED_VALUE"""),2022.0)</f>
        <v>2022</v>
      </c>
      <c r="D486" s="8" t="str">
        <f>IFERROR(__xludf.DUMMYFUNCTION("""COMPUTED_VALUE"""),"2022/2023")</f>
        <v>2022/2023</v>
      </c>
      <c r="E486" s="9">
        <f>IFERROR(__xludf.DUMMYFUNCTION("""COMPUTED_VALUE"""),44886.0)</f>
        <v>44886</v>
      </c>
      <c r="F486" s="5" t="str">
        <f>IFERROR(__xludf.DUMMYFUNCTION("""COMPUTED_VALUE"""),"Ganjil")</f>
        <v>Ganjil</v>
      </c>
      <c r="G486" s="5" t="str">
        <f>IFERROR(__xludf.DUMMYFUNCTION("""COMPUTED_VALUE"""),"Akuntansi")</f>
        <v>Akuntansi</v>
      </c>
      <c r="H486" s="10" t="str">
        <f>IFERROR(__xludf.DUMMYFUNCTION("""COMPUTED_VALUE"""),"Mahasiswa")</f>
        <v>Mahasiswa</v>
      </c>
      <c r="I486" s="6" t="str">
        <f>IFERROR(__xludf.DUMMYFUNCTION("""COMPUTED_VALUE"""),"Ratna Pertiwi")</f>
        <v>Ratna Pertiwi</v>
      </c>
      <c r="J486" s="6" t="str">
        <f>IFERROR(__xludf.DUMMYFUNCTION("""COMPUTED_VALUE"""),"Arif Nugroho Rachman")</f>
        <v>Arif Nugroho Rachman</v>
      </c>
      <c r="K486" s="6"/>
      <c r="L486" s="6"/>
      <c r="M486" s="6"/>
      <c r="N486" s="6"/>
      <c r="O486" s="6"/>
      <c r="P486" s="10" t="str">
        <f>IFERROR(__xludf.DUMMYFUNCTION("""COMPUTED_VALUE"""),"Ratna Pertiwi,Arif Nugroho Rachman,,")</f>
        <v>Ratna Pertiwi,Arif Nugroho Rachman,,</v>
      </c>
      <c r="Q486" s="11" t="str">
        <f>IFERROR(__xludf.DUMMYFUNCTION("""COMPUTED_VALUE"""),"https://journalshub.org/index.php/jebaku/article/view/693")</f>
        <v>https://journalshub.org/index.php/jebaku/article/view/693</v>
      </c>
      <c r="R486" s="6"/>
    </row>
    <row r="487">
      <c r="A487" s="5">
        <f>IFERROR(__xludf.DUMMYFUNCTION("""COMPUTED_VALUE"""),486.0)</f>
        <v>486</v>
      </c>
      <c r="B487" s="6" t="str">
        <f>IFERROR(__xludf.DUMMYFUNCTION("""COMPUTED_VALUE"""),"Pengaruh Gaya Kepemimpinan Transformasional, Kompensasi Dan Lingkungan Kerja Terhadap Loyalitas Karyawan (Studi Kasus Departemen Preparation Pada Karyawan Pt Prima Sejati Sejahtera Boyolali)")</f>
        <v>Pengaruh Gaya Kepemimpinan Transformasional, Kompensasi Dan Lingkungan Kerja Terhadap Loyalitas Karyawan (Studi Kasus Departemen Preparation Pada Karyawan Pt Prima Sejati Sejahtera Boyolali)</v>
      </c>
      <c r="C487" s="7">
        <f>IFERROR(__xludf.DUMMYFUNCTION("""COMPUTED_VALUE"""),2022.0)</f>
        <v>2022</v>
      </c>
      <c r="D487" s="8" t="str">
        <f>IFERROR(__xludf.DUMMYFUNCTION("""COMPUTED_VALUE"""),"2022/2023")</f>
        <v>2022/2023</v>
      </c>
      <c r="E487" s="9">
        <f>IFERROR(__xludf.DUMMYFUNCTION("""COMPUTED_VALUE"""),44887.0)</f>
        <v>44887</v>
      </c>
      <c r="F487" s="5" t="str">
        <f>IFERROR(__xludf.DUMMYFUNCTION("""COMPUTED_VALUE"""),"Ganjil")</f>
        <v>Ganjil</v>
      </c>
      <c r="G487" s="5" t="str">
        <f>IFERROR(__xludf.DUMMYFUNCTION("""COMPUTED_VALUE"""),"Manajemen")</f>
        <v>Manajemen</v>
      </c>
      <c r="H487" s="10" t="str">
        <f>IFERROR(__xludf.DUMMYFUNCTION("""COMPUTED_VALUE"""),"Mahasiswa")</f>
        <v>Mahasiswa</v>
      </c>
      <c r="I487" s="6" t="str">
        <f>IFERROR(__xludf.DUMMYFUNCTION("""COMPUTED_VALUE"""),"Selfinia Utami")</f>
        <v>Selfinia Utami</v>
      </c>
      <c r="J487" s="6" t="str">
        <f>IFERROR(__xludf.DUMMYFUNCTION("""COMPUTED_VALUE"""),"Putri Maisara")</f>
        <v>Putri Maisara</v>
      </c>
      <c r="K487" s="6"/>
      <c r="L487" s="6"/>
      <c r="M487" s="6"/>
      <c r="N487" s="6"/>
      <c r="O487" s="6"/>
      <c r="P487" s="10" t="str">
        <f>IFERROR(__xludf.DUMMYFUNCTION("""COMPUTED_VALUE"""),"Selfinia Utami,Putri Maisara,,")</f>
        <v>Selfinia Utami,Putri Maisara,,</v>
      </c>
      <c r="Q487" s="11" t="str">
        <f>IFERROR(__xludf.DUMMYFUNCTION("""COMPUTED_VALUE"""),"https://jurnal.stie-aas.ac.id/index.php/jie/article/view/7152")</f>
        <v>https://jurnal.stie-aas.ac.id/index.php/jie/article/view/7152</v>
      </c>
      <c r="R487" s="6"/>
    </row>
    <row r="488">
      <c r="A488" s="5">
        <f>IFERROR(__xludf.DUMMYFUNCTION("""COMPUTED_VALUE"""),487.0)</f>
        <v>487</v>
      </c>
      <c r="B488" s="6" t="str">
        <f>IFERROR(__xludf.DUMMYFUNCTION("""COMPUTED_VALUE"""),"Pengaruh Gaya Kepemimpinan Transformasional, Kompensasi dan Lingkungan Kerja terhadap Loyalitas Karyawan (Studi Kasus Departemen Preparation pada Karyawan PT. Prima Sejati Sejahtera Boyolali)")</f>
        <v>Pengaruh Gaya Kepemimpinan Transformasional, Kompensasi dan Lingkungan Kerja terhadap Loyalitas Karyawan (Studi Kasus Departemen Preparation pada Karyawan PT. Prima Sejati Sejahtera Boyolali)</v>
      </c>
      <c r="C488" s="7">
        <f>IFERROR(__xludf.DUMMYFUNCTION("""COMPUTED_VALUE"""),2022.0)</f>
        <v>2022</v>
      </c>
      <c r="D488" s="8" t="str">
        <f>IFERROR(__xludf.DUMMYFUNCTION("""COMPUTED_VALUE"""),"2022/2023")</f>
        <v>2022/2023</v>
      </c>
      <c r="E488" s="9">
        <f>IFERROR(__xludf.DUMMYFUNCTION("""COMPUTED_VALUE"""),44887.0)</f>
        <v>44887</v>
      </c>
      <c r="F488" s="5" t="str">
        <f>IFERROR(__xludf.DUMMYFUNCTION("""COMPUTED_VALUE"""),"Ganjil")</f>
        <v>Ganjil</v>
      </c>
      <c r="G488" s="5" t="str">
        <f>IFERROR(__xludf.DUMMYFUNCTION("""COMPUTED_VALUE"""),"Manajemen")</f>
        <v>Manajemen</v>
      </c>
      <c r="H488" s="10" t="str">
        <f>IFERROR(__xludf.DUMMYFUNCTION("""COMPUTED_VALUE"""),"Dosen")</f>
        <v>Dosen</v>
      </c>
      <c r="I488" s="6" t="str">
        <f>IFERROR(__xludf.DUMMYFUNCTION("""COMPUTED_VALUE"""),"Putri Maisara")</f>
        <v>Putri Maisara</v>
      </c>
      <c r="J488" s="6" t="str">
        <f>IFERROR(__xludf.DUMMYFUNCTION("""COMPUTED_VALUE"""),"Selfinia Utami")</f>
        <v>Selfinia Utami</v>
      </c>
      <c r="K488" s="6"/>
      <c r="L488" s="6"/>
      <c r="M488" s="6"/>
      <c r="N488" s="6"/>
      <c r="O488" s="6"/>
      <c r="P488" s="10" t="str">
        <f>IFERROR(__xludf.DUMMYFUNCTION("""COMPUTED_VALUE"""),"Putri Maisara,Selfinia Utami,,")</f>
        <v>Putri Maisara,Selfinia Utami,,</v>
      </c>
      <c r="Q488" s="11" t="str">
        <f>IFERROR(__xludf.DUMMYFUNCTION("""COMPUTED_VALUE"""),"https://www.jurnal.stie-aas.ac.id/index.php/jie/article/view/7152/pdf")</f>
        <v>https://www.jurnal.stie-aas.ac.id/index.php/jie/article/view/7152/pdf</v>
      </c>
      <c r="R488" s="6"/>
    </row>
    <row r="489">
      <c r="A489" s="5">
        <f>IFERROR(__xludf.DUMMYFUNCTION("""COMPUTED_VALUE"""),488.0)</f>
        <v>488</v>
      </c>
      <c r="B489" s="6" t="str">
        <f>IFERROR(__xludf.DUMMYFUNCTION("""COMPUTED_VALUE"""),"PENGARUH HARGA, KUALITAS, DESAIN PRODUK TERHADAP KEPUTUSAN PEMBELIAN GITAR DI OMAH GITAR")</f>
        <v>PENGARUH HARGA, KUALITAS, DESAIN PRODUK TERHADAP KEPUTUSAN PEMBELIAN GITAR DI OMAH GITAR</v>
      </c>
      <c r="C489" s="7">
        <f>IFERROR(__xludf.DUMMYFUNCTION("""COMPUTED_VALUE"""),2022.0)</f>
        <v>2022</v>
      </c>
      <c r="D489" s="8" t="str">
        <f>IFERROR(__xludf.DUMMYFUNCTION("""COMPUTED_VALUE"""),"2022/2023")</f>
        <v>2022/2023</v>
      </c>
      <c r="E489" s="9">
        <f>IFERROR(__xludf.DUMMYFUNCTION("""COMPUTED_VALUE"""),44888.0)</f>
        <v>44888</v>
      </c>
      <c r="F489" s="5" t="str">
        <f>IFERROR(__xludf.DUMMYFUNCTION("""COMPUTED_VALUE"""),"Ganjil")</f>
        <v>Ganjil</v>
      </c>
      <c r="G489" s="5" t="str">
        <f>IFERROR(__xludf.DUMMYFUNCTION("""COMPUTED_VALUE"""),"Manajemen")</f>
        <v>Manajemen</v>
      </c>
      <c r="H489" s="10" t="str">
        <f>IFERROR(__xludf.DUMMYFUNCTION("""COMPUTED_VALUE"""),"Mahasiswa")</f>
        <v>Mahasiswa</v>
      </c>
      <c r="I489" s="6" t="str">
        <f>IFERROR(__xludf.DUMMYFUNCTION("""COMPUTED_VALUE"""),"Bayu Aji Nugroho")</f>
        <v>Bayu Aji Nugroho</v>
      </c>
      <c r="J489" s="6" t="str">
        <f>IFERROR(__xludf.DUMMYFUNCTION("""COMPUTED_VALUE"""),"Budi Istiyanto")</f>
        <v>Budi Istiyanto</v>
      </c>
      <c r="K489" s="6"/>
      <c r="L489" s="6"/>
      <c r="M489" s="6"/>
      <c r="N489" s="6"/>
      <c r="O489" s="6"/>
      <c r="P489" s="10" t="str">
        <f>IFERROR(__xludf.DUMMYFUNCTION("""COMPUTED_VALUE"""),"Bayu Aji Nugroho,Budi Istiyanto,,")</f>
        <v>Bayu Aji Nugroho,Budi Istiyanto,,</v>
      </c>
      <c r="Q489" s="11" t="str">
        <f>IFERROR(__xludf.DUMMYFUNCTION("""COMPUTED_VALUE"""),"https://ejournal.mandalabhakti.ac.id/mabha/article/view/44")</f>
        <v>https://ejournal.mandalabhakti.ac.id/mabha/article/view/44</v>
      </c>
      <c r="R489" s="6"/>
    </row>
    <row r="490">
      <c r="A490" s="5">
        <f>IFERROR(__xludf.DUMMYFUNCTION("""COMPUTED_VALUE"""),489.0)</f>
        <v>489</v>
      </c>
      <c r="B490" s="6" t="str">
        <f>IFERROR(__xludf.DUMMYFUNCTION("""COMPUTED_VALUE"""),"PENGARUH KUALITAS PRODUK, CITRA MEREK, DAN HARGA TERHADAP KEPUTUSAN PEMBELIAN SMARTPHONE XIAOMI")</f>
        <v>PENGARUH KUALITAS PRODUK, CITRA MEREK, DAN HARGA TERHADAP KEPUTUSAN PEMBELIAN SMARTPHONE XIAOMI</v>
      </c>
      <c r="C490" s="7">
        <f>IFERROR(__xludf.DUMMYFUNCTION("""COMPUTED_VALUE"""),2022.0)</f>
        <v>2022</v>
      </c>
      <c r="D490" s="8" t="str">
        <f>IFERROR(__xludf.DUMMYFUNCTION("""COMPUTED_VALUE"""),"2022/2023")</f>
        <v>2022/2023</v>
      </c>
      <c r="E490" s="9">
        <f>IFERROR(__xludf.DUMMYFUNCTION("""COMPUTED_VALUE"""),44891.0)</f>
        <v>44891</v>
      </c>
      <c r="F490" s="5" t="str">
        <f>IFERROR(__xludf.DUMMYFUNCTION("""COMPUTED_VALUE"""),"Ganjil")</f>
        <v>Ganjil</v>
      </c>
      <c r="G490" s="5" t="str">
        <f>IFERROR(__xludf.DUMMYFUNCTION("""COMPUTED_VALUE"""),"Manajemen")</f>
        <v>Manajemen</v>
      </c>
      <c r="H490" s="10" t="str">
        <f>IFERROR(__xludf.DUMMYFUNCTION("""COMPUTED_VALUE"""),"Mahasiswa")</f>
        <v>Mahasiswa</v>
      </c>
      <c r="I490" s="6" t="str">
        <f>IFERROR(__xludf.DUMMYFUNCTION("""COMPUTED_VALUE"""),"Zuhda Atma Rosyadi")</f>
        <v>Zuhda Atma Rosyadi</v>
      </c>
      <c r="J490" s="6" t="str">
        <f>IFERROR(__xludf.DUMMYFUNCTION("""COMPUTED_VALUE"""),"Budi Istiyanto")</f>
        <v>Budi Istiyanto</v>
      </c>
      <c r="K490" s="6"/>
      <c r="L490" s="6"/>
      <c r="M490" s="6"/>
      <c r="N490" s="6"/>
      <c r="O490" s="6"/>
      <c r="P490" s="10" t="str">
        <f>IFERROR(__xludf.DUMMYFUNCTION("""COMPUTED_VALUE"""),"Zuhda Atma Rosyadi,Budi Istiyanto,,")</f>
        <v>Zuhda Atma Rosyadi,Budi Istiyanto,,</v>
      </c>
      <c r="Q490" s="11" t="str">
        <f>IFERROR(__xludf.DUMMYFUNCTION("""COMPUTED_VALUE"""),"https://ejournal.mandalabhakti.ac.id/mabha/article/view/43")</f>
        <v>https://ejournal.mandalabhakti.ac.id/mabha/article/view/43</v>
      </c>
      <c r="R490" s="6"/>
    </row>
    <row r="491">
      <c r="A491" s="5">
        <f>IFERROR(__xludf.DUMMYFUNCTION("""COMPUTED_VALUE"""),490.0)</f>
        <v>490</v>
      </c>
      <c r="B491" s="6" t="str">
        <f>IFERROR(__xludf.DUMMYFUNCTION("""COMPUTED_VALUE"""),"FAKTOR-FAKTOR YANG MEMPENGARUHI AKUNTABILITAS PENGELOLAAN DANA DESA KABUPATEN BOYOLALI")</f>
        <v>FAKTOR-FAKTOR YANG MEMPENGARUHI AKUNTABILITAS PENGELOLAAN DANA DESA KABUPATEN BOYOLALI</v>
      </c>
      <c r="C491" s="7">
        <f>IFERROR(__xludf.DUMMYFUNCTION("""COMPUTED_VALUE"""),2022.0)</f>
        <v>2022</v>
      </c>
      <c r="D491" s="8" t="str">
        <f>IFERROR(__xludf.DUMMYFUNCTION("""COMPUTED_VALUE"""),"2022/2023")</f>
        <v>2022/2023</v>
      </c>
      <c r="E491" s="9">
        <f>IFERROR(__xludf.DUMMYFUNCTION("""COMPUTED_VALUE"""),44891.0)</f>
        <v>44891</v>
      </c>
      <c r="F491" s="5" t="str">
        <f>IFERROR(__xludf.DUMMYFUNCTION("""COMPUTED_VALUE"""),"Ganjil")</f>
        <v>Ganjil</v>
      </c>
      <c r="G491" s="5" t="str">
        <f>IFERROR(__xludf.DUMMYFUNCTION("""COMPUTED_VALUE"""),"Akuntansi")</f>
        <v>Akuntansi</v>
      </c>
      <c r="H491" s="10" t="str">
        <f>IFERROR(__xludf.DUMMYFUNCTION("""COMPUTED_VALUE"""),"Mahasiswa")</f>
        <v>Mahasiswa</v>
      </c>
      <c r="I491" s="6" t="str">
        <f>IFERROR(__xludf.DUMMYFUNCTION("""COMPUTED_VALUE"""),"APRILIA NURJANAH")</f>
        <v>APRILIA NURJANAH</v>
      </c>
      <c r="J491" s="6" t="str">
        <f>IFERROR(__xludf.DUMMYFUNCTION("""COMPUTED_VALUE"""),"Rosita")</f>
        <v>Rosita</v>
      </c>
      <c r="K491" s="6"/>
      <c r="L491" s="6"/>
      <c r="M491" s="6"/>
      <c r="N491" s="6"/>
      <c r="O491" s="6"/>
      <c r="P491" s="10" t="str">
        <f>IFERROR(__xludf.DUMMYFUNCTION("""COMPUTED_VALUE"""),"APRILIA NURJANAH,Rosita,,")</f>
        <v>APRILIA NURJANAH,Rosita,,</v>
      </c>
      <c r="Q491" s="11" t="str">
        <f>IFERROR(__xludf.DUMMYFUNCTION("""COMPUTED_VALUE"""),"http://conference.stietotalwin.ac.id/index.php/prowin/2022/paper/view/34")</f>
        <v>http://conference.stietotalwin.ac.id/index.php/prowin/2022/paper/view/34</v>
      </c>
      <c r="R491" s="6"/>
    </row>
    <row r="492">
      <c r="A492" s="5">
        <f>IFERROR(__xludf.DUMMYFUNCTION("""COMPUTED_VALUE"""),491.0)</f>
        <v>491</v>
      </c>
      <c r="B492" s="6" t="str">
        <f>IFERROR(__xludf.DUMMYFUNCTION("""COMPUTED_VALUE"""),"ANALISIS PENGARUH KEMAMPUAN SKILL AKUNTANSI TERHADAP KINERJA UMKM (Studi Kasus Pada UMKM dipasar Tawangsari)")</f>
        <v>ANALISIS PENGARUH KEMAMPUAN SKILL AKUNTANSI TERHADAP KINERJA UMKM (Studi Kasus Pada UMKM dipasar Tawangsari)</v>
      </c>
      <c r="C492" s="7">
        <f>IFERROR(__xludf.DUMMYFUNCTION("""COMPUTED_VALUE"""),2022.0)</f>
        <v>2022</v>
      </c>
      <c r="D492" s="8" t="str">
        <f>IFERROR(__xludf.DUMMYFUNCTION("""COMPUTED_VALUE"""),"2022/2023")</f>
        <v>2022/2023</v>
      </c>
      <c r="E492" s="9">
        <f>IFERROR(__xludf.DUMMYFUNCTION("""COMPUTED_VALUE"""),44891.0)</f>
        <v>44891</v>
      </c>
      <c r="F492" s="5" t="str">
        <f>IFERROR(__xludf.DUMMYFUNCTION("""COMPUTED_VALUE"""),"Ganjil")</f>
        <v>Ganjil</v>
      </c>
      <c r="G492" s="5" t="str">
        <f>IFERROR(__xludf.DUMMYFUNCTION("""COMPUTED_VALUE"""),"Akuntansi")</f>
        <v>Akuntansi</v>
      </c>
      <c r="H492" s="10" t="str">
        <f>IFERROR(__xludf.DUMMYFUNCTION("""COMPUTED_VALUE"""),"Mahasiswa")</f>
        <v>Mahasiswa</v>
      </c>
      <c r="I492" s="6" t="str">
        <f>IFERROR(__xludf.DUMMYFUNCTION("""COMPUTED_VALUE"""),"FIKA AYU NURFITRIA")</f>
        <v>FIKA AYU NURFITRIA</v>
      </c>
      <c r="J492" s="6" t="str">
        <f>IFERROR(__xludf.DUMMYFUNCTION("""COMPUTED_VALUE"""),"Rosita")</f>
        <v>Rosita</v>
      </c>
      <c r="K492" s="6"/>
      <c r="L492" s="6"/>
      <c r="M492" s="6"/>
      <c r="N492" s="6"/>
      <c r="O492" s="6"/>
      <c r="P492" s="10" t="str">
        <f>IFERROR(__xludf.DUMMYFUNCTION("""COMPUTED_VALUE"""),"FIKA AYU NURFITRIA,Rosita,,")</f>
        <v>FIKA AYU NURFITRIA,Rosita,,</v>
      </c>
      <c r="Q492" s="11" t="str">
        <f>IFERROR(__xludf.DUMMYFUNCTION("""COMPUTED_VALUE"""),"http://conference.stietotalwin.ac.id/index.php/prowin/2022/paper/view/35")</f>
        <v>http://conference.stietotalwin.ac.id/index.php/prowin/2022/paper/view/35</v>
      </c>
      <c r="R492" s="6"/>
    </row>
    <row r="493">
      <c r="A493" s="5">
        <f>IFERROR(__xludf.DUMMYFUNCTION("""COMPUTED_VALUE"""),492.0)</f>
        <v>492</v>
      </c>
      <c r="B493" s="6" t="str">
        <f>IFERROR(__xludf.DUMMYFUNCTION("""COMPUTED_VALUE"""),"Analisis Penerapan Akuntansi Pada Peningkatan Kinerja UMKM di Kecamatan Grogol, Kabupaten Sukoharjo")</f>
        <v>Analisis Penerapan Akuntansi Pada Peningkatan Kinerja UMKM di Kecamatan Grogol, Kabupaten Sukoharjo</v>
      </c>
      <c r="C493" s="7">
        <f>IFERROR(__xludf.DUMMYFUNCTION("""COMPUTED_VALUE"""),2022.0)</f>
        <v>2022</v>
      </c>
      <c r="D493" s="8" t="str">
        <f>IFERROR(__xludf.DUMMYFUNCTION("""COMPUTED_VALUE"""),"2022/2023")</f>
        <v>2022/2023</v>
      </c>
      <c r="E493" s="9">
        <f>IFERROR(__xludf.DUMMYFUNCTION("""COMPUTED_VALUE"""),44891.0)</f>
        <v>44891</v>
      </c>
      <c r="F493" s="5" t="str">
        <f>IFERROR(__xludf.DUMMYFUNCTION("""COMPUTED_VALUE"""),"Ganjil")</f>
        <v>Ganjil</v>
      </c>
      <c r="G493" s="5" t="str">
        <f>IFERROR(__xludf.DUMMYFUNCTION("""COMPUTED_VALUE"""),"Akuntansi")</f>
        <v>Akuntansi</v>
      </c>
      <c r="H493" s="10" t="str">
        <f>IFERROR(__xludf.DUMMYFUNCTION("""COMPUTED_VALUE"""),"Mahasiswa")</f>
        <v>Mahasiswa</v>
      </c>
      <c r="I493" s="6" t="str">
        <f>IFERROR(__xludf.DUMMYFUNCTION("""COMPUTED_VALUE"""),"Rohmat Setiawan")</f>
        <v>Rohmat Setiawan</v>
      </c>
      <c r="J493" s="6" t="str">
        <f>IFERROR(__xludf.DUMMYFUNCTION("""COMPUTED_VALUE"""),"Rosita")</f>
        <v>Rosita</v>
      </c>
      <c r="K493" s="6"/>
      <c r="L493" s="6"/>
      <c r="M493" s="6"/>
      <c r="N493" s="6"/>
      <c r="O493" s="6"/>
      <c r="P493" s="10" t="str">
        <f>IFERROR(__xludf.DUMMYFUNCTION("""COMPUTED_VALUE"""),"Rohmat Setiawan,Rosita,,")</f>
        <v>Rohmat Setiawan,Rosita,,</v>
      </c>
      <c r="Q493" s="11" t="str">
        <f>IFERROR(__xludf.DUMMYFUNCTION("""COMPUTED_VALUE"""),"http://conference.stietotalwin.ac.id/index.php/prowin/2022/paper/view/39")</f>
        <v>http://conference.stietotalwin.ac.id/index.php/prowin/2022/paper/view/39</v>
      </c>
      <c r="R493" s="6"/>
    </row>
    <row r="494">
      <c r="A494" s="5">
        <f>IFERROR(__xludf.DUMMYFUNCTION("""COMPUTED_VALUE"""),493.0)</f>
        <v>493</v>
      </c>
      <c r="B494" s="6" t="str">
        <f>IFERROR(__xludf.DUMMYFUNCTION("""COMPUTED_VALUE"""),"Pengaruh Pengetahuan Akuntansi, Motivasi Kerja, dan Pengalaman Usaha Terhadap Penggunaan Informasi Akuntansi pada Pelaku UMKM di Surakarta")</f>
        <v>Pengaruh Pengetahuan Akuntansi, Motivasi Kerja, dan Pengalaman Usaha Terhadap Penggunaan Informasi Akuntansi pada Pelaku UMKM di Surakarta</v>
      </c>
      <c r="C494" s="7">
        <f>IFERROR(__xludf.DUMMYFUNCTION("""COMPUTED_VALUE"""),2022.0)</f>
        <v>2022</v>
      </c>
      <c r="D494" s="8" t="str">
        <f>IFERROR(__xludf.DUMMYFUNCTION("""COMPUTED_VALUE"""),"2022/2023")</f>
        <v>2022/2023</v>
      </c>
      <c r="E494" s="9">
        <f>IFERROR(__xludf.DUMMYFUNCTION("""COMPUTED_VALUE"""),44891.0)</f>
        <v>44891</v>
      </c>
      <c r="F494" s="5" t="str">
        <f>IFERROR(__xludf.DUMMYFUNCTION("""COMPUTED_VALUE"""),"Ganjil")</f>
        <v>Ganjil</v>
      </c>
      <c r="G494" s="5" t="str">
        <f>IFERROR(__xludf.DUMMYFUNCTION("""COMPUTED_VALUE"""),"Akuntansi")</f>
        <v>Akuntansi</v>
      </c>
      <c r="H494" s="10" t="str">
        <f>IFERROR(__xludf.DUMMYFUNCTION("""COMPUTED_VALUE"""),"Mahasiswa")</f>
        <v>Mahasiswa</v>
      </c>
      <c r="I494" s="6" t="str">
        <f>IFERROR(__xludf.DUMMYFUNCTION("""COMPUTED_VALUE"""),"Irfan Fuad Fauzi")</f>
        <v>Irfan Fuad Fauzi</v>
      </c>
      <c r="J494" s="6" t="str">
        <f>IFERROR(__xludf.DUMMYFUNCTION("""COMPUTED_VALUE"""),"Pardi")</f>
        <v>Pardi</v>
      </c>
      <c r="K494" s="6"/>
      <c r="L494" s="6"/>
      <c r="M494" s="6"/>
      <c r="N494" s="6"/>
      <c r="O494" s="6"/>
      <c r="P494" s="10" t="str">
        <f>IFERROR(__xludf.DUMMYFUNCTION("""COMPUTED_VALUE"""),"Irfan Fuad Fauzi,Pardi,,")</f>
        <v>Irfan Fuad Fauzi,Pardi,,</v>
      </c>
      <c r="Q494" s="11" t="str">
        <f>IFERROR(__xludf.DUMMYFUNCTION("""COMPUTED_VALUE"""),"https://repository.stiesurakarta.ac.id/submission/e5b57cfc-36d3-4bbb-aaeb-e53ca79e7613")</f>
        <v>https://repository.stiesurakarta.ac.id/submission/e5b57cfc-36d3-4bbb-aaeb-e53ca79e7613</v>
      </c>
      <c r="R494" s="6"/>
    </row>
    <row r="495">
      <c r="A495" s="5">
        <f>IFERROR(__xludf.DUMMYFUNCTION("""COMPUTED_VALUE"""),494.0)</f>
        <v>494</v>
      </c>
      <c r="B495" s="6" t="str">
        <f>IFERROR(__xludf.DUMMYFUNCTION("""COMPUTED_VALUE"""),"Peningkatan Kualitas Pengelolaan Usaha Dalam Perbaikan Kinerja Umkm")</f>
        <v>Peningkatan Kualitas Pengelolaan Usaha Dalam Perbaikan Kinerja Umkm</v>
      </c>
      <c r="C495" s="7">
        <f>IFERROR(__xludf.DUMMYFUNCTION("""COMPUTED_VALUE"""),2022.0)</f>
        <v>2022</v>
      </c>
      <c r="D495" s="8" t="str">
        <f>IFERROR(__xludf.DUMMYFUNCTION("""COMPUTED_VALUE"""),"2022/2023")</f>
        <v>2022/2023</v>
      </c>
      <c r="E495" s="9">
        <f>IFERROR(__xludf.DUMMYFUNCTION("""COMPUTED_VALUE"""),44895.0)</f>
        <v>44895</v>
      </c>
      <c r="F495" s="5" t="str">
        <f>IFERROR(__xludf.DUMMYFUNCTION("""COMPUTED_VALUE"""),"Ganjil")</f>
        <v>Ganjil</v>
      </c>
      <c r="G495" s="5" t="str">
        <f>IFERROR(__xludf.DUMMYFUNCTION("""COMPUTED_VALUE"""),"Akuntansi")</f>
        <v>Akuntansi</v>
      </c>
      <c r="H495" s="10" t="str">
        <f>IFERROR(__xludf.DUMMYFUNCTION("""COMPUTED_VALUE"""),"Dosen")</f>
        <v>Dosen</v>
      </c>
      <c r="I495" s="6" t="str">
        <f>IFERROR(__xludf.DUMMYFUNCTION("""COMPUTED_VALUE"""),"Rosita")</f>
        <v>Rosita</v>
      </c>
      <c r="J495" s="6" t="str">
        <f>IFERROR(__xludf.DUMMYFUNCTION("""COMPUTED_VALUE"""),"Ida Ayu Kade")</f>
        <v>Ida Ayu Kade</v>
      </c>
      <c r="K495" s="6" t="str">
        <f>IFERROR(__xludf.DUMMYFUNCTION("""COMPUTED_VALUE"""),"Nur Kholis")</f>
        <v>Nur Kholis</v>
      </c>
      <c r="L495" s="6" t="str">
        <f>IFERROR(__xludf.DUMMYFUNCTION("""COMPUTED_VALUE"""),"Heri Susanto")</f>
        <v>Heri Susanto</v>
      </c>
      <c r="M495" s="6"/>
      <c r="N495" s="6"/>
      <c r="O495" s="6"/>
      <c r="P495" s="10" t="str">
        <f>IFERROR(__xludf.DUMMYFUNCTION("""COMPUTED_VALUE"""),"Rosita,Ida Ayu Kade,Nur Kholis,Heri Susanto")</f>
        <v>Rosita,Ida Ayu Kade,Nur Kholis,Heri Susanto</v>
      </c>
      <c r="Q495" s="11" t="str">
        <f>IFERROR(__xludf.DUMMYFUNCTION("""COMPUTED_VALUE"""),"https://ejournal.lppm-stieatmabhakti.id/index.php/JANAKA/article/view/293")</f>
        <v>https://ejournal.lppm-stieatmabhakti.id/index.php/JANAKA/article/view/293</v>
      </c>
      <c r="R495" s="6"/>
    </row>
    <row r="496">
      <c r="A496" s="5">
        <f>IFERROR(__xludf.DUMMYFUNCTION("""COMPUTED_VALUE"""),495.0)</f>
        <v>495</v>
      </c>
      <c r="B496" s="6" t="str">
        <f>IFERROR(__xludf.DUMMYFUNCTION("""COMPUTED_VALUE"""),"Strategi Keunggulan Bersaing Industri Pariwisata Dalam Penguatan Ekonomi Lokal Di Kawasan Solo Raya")</f>
        <v>Strategi Keunggulan Bersaing Industri Pariwisata Dalam Penguatan Ekonomi Lokal Di Kawasan Solo Raya</v>
      </c>
      <c r="C496" s="7">
        <f>IFERROR(__xludf.DUMMYFUNCTION("""COMPUTED_VALUE"""),2022.0)</f>
        <v>2022</v>
      </c>
      <c r="D496" s="8" t="str">
        <f>IFERROR(__xludf.DUMMYFUNCTION("""COMPUTED_VALUE"""),"2022/2023")</f>
        <v>2022/2023</v>
      </c>
      <c r="E496" s="9">
        <f>IFERROR(__xludf.DUMMYFUNCTION("""COMPUTED_VALUE"""),44895.0)</f>
        <v>44895</v>
      </c>
      <c r="F496" s="5" t="str">
        <f>IFERROR(__xludf.DUMMYFUNCTION("""COMPUTED_VALUE"""),"Ganjil")</f>
        <v>Ganjil</v>
      </c>
      <c r="G496" s="5" t="str">
        <f>IFERROR(__xludf.DUMMYFUNCTION("""COMPUTED_VALUE"""),"Manajemen")</f>
        <v>Manajemen</v>
      </c>
      <c r="H496" s="10" t="str">
        <f>IFERROR(__xludf.DUMMYFUNCTION("""COMPUTED_VALUE"""),"Mahasiswa")</f>
        <v>Mahasiswa</v>
      </c>
      <c r="I496" s="6" t="str">
        <f>IFERROR(__xludf.DUMMYFUNCTION("""COMPUTED_VALUE"""),"Hidup Marsudi")</f>
        <v>Hidup Marsudi</v>
      </c>
      <c r="J496" s="6" t="str">
        <f>IFERROR(__xludf.DUMMYFUNCTION("""COMPUTED_VALUE"""),"Andri Nurtantiono")</f>
        <v>Andri Nurtantiono</v>
      </c>
      <c r="K496" s="6" t="str">
        <f>IFERROR(__xludf.DUMMYFUNCTION("""COMPUTED_VALUE"""),"Heny Kurnianingsih")</f>
        <v>Heny Kurnianingsih</v>
      </c>
      <c r="L496" s="6"/>
      <c r="M496" s="6"/>
      <c r="N496" s="6"/>
      <c r="O496" s="6"/>
      <c r="P496" s="10" t="str">
        <f>IFERROR(__xludf.DUMMYFUNCTION("""COMPUTED_VALUE"""),"Hidup Marsudi,Andri Nurtantiono,Heny Kurnianingsih,")</f>
        <v>Hidup Marsudi,Andri Nurtantiono,Heny Kurnianingsih,</v>
      </c>
      <c r="Q496" s="11" t="str">
        <f>IFERROR(__xludf.DUMMYFUNCTION("""COMPUTED_VALUE"""),"https://ejournal.lppm-stieatmabhakti.id/index.php/RMA/article/view/288")</f>
        <v>https://ejournal.lppm-stieatmabhakti.id/index.php/RMA/article/view/288</v>
      </c>
      <c r="R496" s="6"/>
    </row>
    <row r="497">
      <c r="A497" s="5">
        <f>IFERROR(__xludf.DUMMYFUNCTION("""COMPUTED_VALUE"""),496.0)</f>
        <v>496</v>
      </c>
      <c r="B497" s="6" t="str">
        <f>IFERROR(__xludf.DUMMYFUNCTION("""COMPUTED_VALUE"""),"ANALISIS SISTEM INFORMASI AKUNTANSI PEMBELIAN DI PT. SURYAMUSTIKA")</f>
        <v>ANALISIS SISTEM INFORMASI AKUNTANSI PEMBELIAN DI PT. SURYAMUSTIKA</v>
      </c>
      <c r="C497" s="7">
        <f>IFERROR(__xludf.DUMMYFUNCTION("""COMPUTED_VALUE"""),2022.0)</f>
        <v>2022</v>
      </c>
      <c r="D497" s="8" t="str">
        <f>IFERROR(__xludf.DUMMYFUNCTION("""COMPUTED_VALUE"""),"2022/2023")</f>
        <v>2022/2023</v>
      </c>
      <c r="E497" s="9">
        <f>IFERROR(__xludf.DUMMYFUNCTION("""COMPUTED_VALUE"""),44896.0)</f>
        <v>44896</v>
      </c>
      <c r="F497" s="5" t="str">
        <f>IFERROR(__xludf.DUMMYFUNCTION("""COMPUTED_VALUE"""),"Ganjil")</f>
        <v>Ganjil</v>
      </c>
      <c r="G497" s="5" t="str">
        <f>IFERROR(__xludf.DUMMYFUNCTION("""COMPUTED_VALUE"""),"Akuntansi")</f>
        <v>Akuntansi</v>
      </c>
      <c r="H497" s="10" t="str">
        <f>IFERROR(__xludf.DUMMYFUNCTION("""COMPUTED_VALUE"""),"Mahasiswa")</f>
        <v>Mahasiswa</v>
      </c>
      <c r="I497" s="6" t="str">
        <f>IFERROR(__xludf.DUMMYFUNCTION("""COMPUTED_VALUE"""),"Rohiima Romiko")</f>
        <v>Rohiima Romiko</v>
      </c>
      <c r="J497" s="6" t="str">
        <f>IFERROR(__xludf.DUMMYFUNCTION("""COMPUTED_VALUE"""),"Pardi")</f>
        <v>Pardi</v>
      </c>
      <c r="K497" s="6"/>
      <c r="L497" s="6"/>
      <c r="M497" s="6"/>
      <c r="N497" s="6"/>
      <c r="O497" s="6"/>
      <c r="P497" s="10" t="str">
        <f>IFERROR(__xludf.DUMMYFUNCTION("""COMPUTED_VALUE"""),"Rohiima Romiko,Pardi,,")</f>
        <v>Rohiima Romiko,Pardi,,</v>
      </c>
      <c r="Q497" s="11" t="str">
        <f>IFERROR(__xludf.DUMMYFUNCTION("""COMPUTED_VALUE"""),"https://www.researchgate.net/publication/366825302_Analisis_sistem_informasi_akuntansi_pembelian_di_Pt_Suryamustika")</f>
        <v>https://www.researchgate.net/publication/366825302_Analisis_sistem_informasi_akuntansi_pembelian_di_Pt_Suryamustika</v>
      </c>
      <c r="R497" s="6"/>
    </row>
    <row r="498">
      <c r="A498" s="5">
        <f>IFERROR(__xludf.DUMMYFUNCTION("""COMPUTED_VALUE"""),497.0)</f>
        <v>497</v>
      </c>
      <c r="B498" s="6" t="str">
        <f>IFERROR(__xludf.DUMMYFUNCTION("""COMPUTED_VALUE"""),"Peningkatan Literasi Keuangan, Kepatuhan Perpajakan, Dan Tata Kelola PT ESA")</f>
        <v>Peningkatan Literasi Keuangan, Kepatuhan Perpajakan, Dan Tata Kelola PT ESA</v>
      </c>
      <c r="C498" s="7">
        <f>IFERROR(__xludf.DUMMYFUNCTION("""COMPUTED_VALUE"""),2022.0)</f>
        <v>2022</v>
      </c>
      <c r="D498" s="8" t="str">
        <f>IFERROR(__xludf.DUMMYFUNCTION("""COMPUTED_VALUE"""),"2022/2023")</f>
        <v>2022/2023</v>
      </c>
      <c r="E498" s="9">
        <f>IFERROR(__xludf.DUMMYFUNCTION("""COMPUTED_VALUE"""),44896.0)</f>
        <v>44896</v>
      </c>
      <c r="F498" s="5" t="str">
        <f>IFERROR(__xludf.DUMMYFUNCTION("""COMPUTED_VALUE"""),"Ganjil")</f>
        <v>Ganjil</v>
      </c>
      <c r="G498" s="5" t="str">
        <f>IFERROR(__xludf.DUMMYFUNCTION("""COMPUTED_VALUE"""),"Akuntansi")</f>
        <v>Akuntansi</v>
      </c>
      <c r="H498" s="10" t="str">
        <f>IFERROR(__xludf.DUMMYFUNCTION("""COMPUTED_VALUE"""),"Dosen")</f>
        <v>Dosen</v>
      </c>
      <c r="I498" s="6" t="str">
        <f>IFERROR(__xludf.DUMMYFUNCTION("""COMPUTED_VALUE"""),"Rosita")</f>
        <v>Rosita</v>
      </c>
      <c r="J498" s="6" t="str">
        <f>IFERROR(__xludf.DUMMYFUNCTION("""COMPUTED_VALUE"""),"Ida Ayu Kade")</f>
        <v>Ida Ayu Kade</v>
      </c>
      <c r="K498" s="6" t="str">
        <f>IFERROR(__xludf.DUMMYFUNCTION("""COMPUTED_VALUE"""),"Astuning Saharsini")</f>
        <v>Astuning Saharsini</v>
      </c>
      <c r="L498" s="6" t="str">
        <f>IFERROR(__xludf.DUMMYFUNCTION("""COMPUTED_VALUE"""),"Nur Kholis")</f>
        <v>Nur Kholis</v>
      </c>
      <c r="M498" s="6" t="str">
        <f>IFERROR(__xludf.DUMMYFUNCTION("""COMPUTED_VALUE"""),"Caroline Ayunita Vivi Pratiwi")</f>
        <v>Caroline Ayunita Vivi Pratiwi</v>
      </c>
      <c r="N498" s="6"/>
      <c r="O498" s="6"/>
      <c r="P498" s="10" t="str">
        <f>IFERROR(__xludf.DUMMYFUNCTION("""COMPUTED_VALUE"""),"Rosita,Ida Ayu Kade,Astuning Saharsini,Nur Kholis")</f>
        <v>Rosita,Ida Ayu Kade,Astuning Saharsini,Nur Kholis</v>
      </c>
      <c r="Q498" s="11" t="str">
        <f>IFERROR(__xludf.DUMMYFUNCTION("""COMPUTED_VALUE"""),"https://jurnalpengabdian.stiesurakarta.ac.id/index.php/Dms/article/view/20")</f>
        <v>https://jurnalpengabdian.stiesurakarta.ac.id/index.php/Dms/article/view/20</v>
      </c>
      <c r="R498" s="6"/>
    </row>
    <row r="499">
      <c r="A499" s="5">
        <f>IFERROR(__xludf.DUMMYFUNCTION("""COMPUTED_VALUE"""),498.0)</f>
        <v>498</v>
      </c>
      <c r="B499" s="6" t="str">
        <f>IFERROR(__xludf.DUMMYFUNCTION("""COMPUTED_VALUE"""),"Faktor-Faktor Yang Mempengaruhi Kesadaran Wajib Pajak Dalam Membayar Pajak Kendaraan Bermotor Di Kab Sukoharjo")</f>
        <v>Faktor-Faktor Yang Mempengaruhi Kesadaran Wajib Pajak Dalam Membayar Pajak Kendaraan Bermotor Di Kab Sukoharjo</v>
      </c>
      <c r="C499" s="7">
        <f>IFERROR(__xludf.DUMMYFUNCTION("""COMPUTED_VALUE"""),2022.0)</f>
        <v>2022</v>
      </c>
      <c r="D499" s="8" t="str">
        <f>IFERROR(__xludf.DUMMYFUNCTION("""COMPUTED_VALUE"""),"2022/2023")</f>
        <v>2022/2023</v>
      </c>
      <c r="E499" s="9">
        <f>IFERROR(__xludf.DUMMYFUNCTION("""COMPUTED_VALUE"""),44901.0)</f>
        <v>44901</v>
      </c>
      <c r="F499" s="5" t="str">
        <f>IFERROR(__xludf.DUMMYFUNCTION("""COMPUTED_VALUE"""),"Ganjil")</f>
        <v>Ganjil</v>
      </c>
      <c r="G499" s="5" t="str">
        <f>IFERROR(__xludf.DUMMYFUNCTION("""COMPUTED_VALUE"""),"Akuntansi")</f>
        <v>Akuntansi</v>
      </c>
      <c r="H499" s="10" t="str">
        <f>IFERROR(__xludf.DUMMYFUNCTION("""COMPUTED_VALUE"""),"Mahasiswa")</f>
        <v>Mahasiswa</v>
      </c>
      <c r="I499" s="6" t="str">
        <f>IFERROR(__xludf.DUMMYFUNCTION("""COMPUTED_VALUE"""),"Sinta Nur Aini")</f>
        <v>Sinta Nur Aini</v>
      </c>
      <c r="J499" s="6" t="str">
        <f>IFERROR(__xludf.DUMMYFUNCTION("""COMPUTED_VALUE"""),"Arif Nugroho Rachman")</f>
        <v>Arif Nugroho Rachman</v>
      </c>
      <c r="K499" s="6"/>
      <c r="L499" s="6"/>
      <c r="M499" s="6"/>
      <c r="N499" s="6"/>
      <c r="O499" s="6"/>
      <c r="P499" s="10" t="str">
        <f>IFERROR(__xludf.DUMMYFUNCTION("""COMPUTED_VALUE"""),"Sinta Nur Aini,Arif Nugroho Rachman,,")</f>
        <v>Sinta Nur Aini,Arif Nugroho Rachman,,</v>
      </c>
      <c r="Q499" s="11" t="str">
        <f>IFERROR(__xludf.DUMMYFUNCTION("""COMPUTED_VALUE"""),"https://journalshub.org/index.php/jebaku/article/view/797")</f>
        <v>https://journalshub.org/index.php/jebaku/article/view/797</v>
      </c>
      <c r="R499" s="6"/>
    </row>
    <row r="500">
      <c r="A500" s="5">
        <f>IFERROR(__xludf.DUMMYFUNCTION("""COMPUTED_VALUE"""),499.0)</f>
        <v>499</v>
      </c>
      <c r="B500" s="6" t="str">
        <f>IFERROR(__xludf.DUMMYFUNCTION("""COMPUTED_VALUE"""),"Peran Masyarakat Dalam Merawat Keberagaman, Kerukunan Dan Toleransi")</f>
        <v>Peran Masyarakat Dalam Merawat Keberagaman, Kerukunan Dan Toleransi</v>
      </c>
      <c r="C500" s="7">
        <f>IFERROR(__xludf.DUMMYFUNCTION("""COMPUTED_VALUE"""),2022.0)</f>
        <v>2022</v>
      </c>
      <c r="D500" s="8" t="str">
        <f>IFERROR(__xludf.DUMMYFUNCTION("""COMPUTED_VALUE"""),"2022/2023")</f>
        <v>2022/2023</v>
      </c>
      <c r="E500" s="9">
        <f>IFERROR(__xludf.DUMMYFUNCTION("""COMPUTED_VALUE"""),44904.0)</f>
        <v>44904</v>
      </c>
      <c r="F500" s="5" t="str">
        <f>IFERROR(__xludf.DUMMYFUNCTION("""COMPUTED_VALUE"""),"Ganjil")</f>
        <v>Ganjil</v>
      </c>
      <c r="G500" s="5" t="str">
        <f>IFERROR(__xludf.DUMMYFUNCTION("""COMPUTED_VALUE"""),"Manajemen")</f>
        <v>Manajemen</v>
      </c>
      <c r="H500" s="10" t="str">
        <f>IFERROR(__xludf.DUMMYFUNCTION("""COMPUTED_VALUE"""),"Dosen")</f>
        <v>Dosen</v>
      </c>
      <c r="I500" s="6" t="str">
        <f>IFERROR(__xludf.DUMMYFUNCTION("""COMPUTED_VALUE"""),"Muhammad Jalari")</f>
        <v>Muhammad Jalari</v>
      </c>
      <c r="J500" s="6" t="str">
        <f>IFERROR(__xludf.DUMMYFUNCTION("""COMPUTED_VALUE"""),"Muhammad Fajrul Falaah")</f>
        <v>Muhammad Fajrul Falaah</v>
      </c>
      <c r="K500" s="6"/>
      <c r="L500" s="6"/>
      <c r="M500" s="6"/>
      <c r="N500" s="6"/>
      <c r="O500" s="6"/>
      <c r="P500" s="10" t="str">
        <f>IFERROR(__xludf.DUMMYFUNCTION("""COMPUTED_VALUE"""),"Muhammad Jalari,Muhammad Fajrul Falaah,,")</f>
        <v>Muhammad Jalari,Muhammad Fajrul Falaah,,</v>
      </c>
      <c r="Q500" s="11" t="str">
        <f>IFERROR(__xludf.DUMMYFUNCTION("""COMPUTED_VALUE"""),"https://jurnal.iimsurakarta.ac.id/index.php/haziq/article/view/81")</f>
        <v>https://jurnal.iimsurakarta.ac.id/index.php/haziq/article/view/81</v>
      </c>
      <c r="R500" s="6"/>
    </row>
    <row r="501">
      <c r="A501" s="5">
        <f>IFERROR(__xludf.DUMMYFUNCTION("""COMPUTED_VALUE"""),500.0)</f>
        <v>500</v>
      </c>
      <c r="B501" s="6" t="str">
        <f>IFERROR(__xludf.DUMMYFUNCTION("""COMPUTED_VALUE"""),"Strategi Menuju Ekspansi (Studi pada KSPPS BMT Syamil Syari’Ah Mandiri Boyolali")</f>
        <v>Strategi Menuju Ekspansi (Studi pada KSPPS BMT Syamil Syari’Ah Mandiri Boyolali</v>
      </c>
      <c r="C501" s="7">
        <f>IFERROR(__xludf.DUMMYFUNCTION("""COMPUTED_VALUE"""),2022.0)</f>
        <v>2022</v>
      </c>
      <c r="D501" s="8" t="str">
        <f>IFERROR(__xludf.DUMMYFUNCTION("""COMPUTED_VALUE"""),"2022/2023")</f>
        <v>2022/2023</v>
      </c>
      <c r="E501" s="9">
        <f>IFERROR(__xludf.DUMMYFUNCTION("""COMPUTED_VALUE"""),44910.0)</f>
        <v>44910</v>
      </c>
      <c r="F501" s="5" t="str">
        <f>IFERROR(__xludf.DUMMYFUNCTION("""COMPUTED_VALUE"""),"Ganjil")</f>
        <v>Ganjil</v>
      </c>
      <c r="G501" s="5" t="str">
        <f>IFERROR(__xludf.DUMMYFUNCTION("""COMPUTED_VALUE"""),"Akuntansi")</f>
        <v>Akuntansi</v>
      </c>
      <c r="H501" s="10" t="str">
        <f>IFERROR(__xludf.DUMMYFUNCTION("""COMPUTED_VALUE"""),"Dosen")</f>
        <v>Dosen</v>
      </c>
      <c r="I501" s="6" t="str">
        <f>IFERROR(__xludf.DUMMYFUNCTION("""COMPUTED_VALUE"""),"Ismunawan")</f>
        <v>Ismunawan</v>
      </c>
      <c r="J501" s="6" t="str">
        <f>IFERROR(__xludf.DUMMYFUNCTION("""COMPUTED_VALUE"""),"Arif Nugroho Rachman")</f>
        <v>Arif Nugroho Rachman</v>
      </c>
      <c r="K501" s="6" t="str">
        <f>IFERROR(__xludf.DUMMYFUNCTION("""COMPUTED_VALUE"""),"Amy Wulandari")</f>
        <v>Amy Wulandari</v>
      </c>
      <c r="L501" s="6" t="str">
        <f>IFERROR(__xludf.DUMMYFUNCTION("""COMPUTED_VALUE"""),"Eko Triyanto")</f>
        <v>Eko Triyanto</v>
      </c>
      <c r="M501" s="6" t="str">
        <f>IFERROR(__xludf.DUMMYFUNCTION("""COMPUTED_VALUE"""),"Muhammad Jalari")</f>
        <v>Muhammad Jalari</v>
      </c>
      <c r="N501" s="6"/>
      <c r="O501" s="6"/>
      <c r="P501" s="10" t="str">
        <f>IFERROR(__xludf.DUMMYFUNCTION("""COMPUTED_VALUE"""),"Ismunawan,Arif Nugroho Rachman,Amy Wulandari,Eko Triyanto")</f>
        <v>Ismunawan,Arif Nugroho Rachman,Amy Wulandari,Eko Triyanto</v>
      </c>
      <c r="Q501" s="11" t="str">
        <f>IFERROR(__xludf.DUMMYFUNCTION("""COMPUTED_VALUE"""),"https://docs.google.com/document/d/1kA1LfdctTlPTkgU3WtoJ-jeZaSjR-u8S/edit?usp=drive_link&amp;ouid=113741177560435037779&amp;rtpof=true&amp;sd=true")</f>
        <v>https://docs.google.com/document/d/1kA1LfdctTlPTkgU3WtoJ-jeZaSjR-u8S/edit?usp=drive_link&amp;ouid=113741177560435037779&amp;rtpof=true&amp;sd=true</v>
      </c>
      <c r="R501" s="6"/>
    </row>
    <row r="502">
      <c r="A502" s="5">
        <f>IFERROR(__xludf.DUMMYFUNCTION("""COMPUTED_VALUE"""),501.0)</f>
        <v>501</v>
      </c>
      <c r="B502" s="6" t="str">
        <f>IFERROR(__xludf.DUMMYFUNCTION("""COMPUTED_VALUE"""),"Pengaruh Kualitas Produk, Kualitas Pelayanan Dan Harga Terhadap Kepuasan Pelanggan Herbal Skincare")</f>
        <v>Pengaruh Kualitas Produk, Kualitas Pelayanan Dan Harga Terhadap Kepuasan Pelanggan Herbal Skincare</v>
      </c>
      <c r="C502" s="7">
        <f>IFERROR(__xludf.DUMMYFUNCTION("""COMPUTED_VALUE"""),2022.0)</f>
        <v>2022</v>
      </c>
      <c r="D502" s="8" t="str">
        <f>IFERROR(__xludf.DUMMYFUNCTION("""COMPUTED_VALUE"""),"2022/2023")</f>
        <v>2022/2023</v>
      </c>
      <c r="E502" s="9">
        <f>IFERROR(__xludf.DUMMYFUNCTION("""COMPUTED_VALUE"""),44915.0)</f>
        <v>44915</v>
      </c>
      <c r="F502" s="5" t="str">
        <f>IFERROR(__xludf.DUMMYFUNCTION("""COMPUTED_VALUE"""),"Ganjil")</f>
        <v>Ganjil</v>
      </c>
      <c r="G502" s="5" t="str">
        <f>IFERROR(__xludf.DUMMYFUNCTION("""COMPUTED_VALUE"""),"Manajemen")</f>
        <v>Manajemen</v>
      </c>
      <c r="H502" s="10" t="str">
        <f>IFERROR(__xludf.DUMMYFUNCTION("""COMPUTED_VALUE"""),"Mahasiswa")</f>
        <v>Mahasiswa</v>
      </c>
      <c r="I502" s="6" t="str">
        <f>IFERROR(__xludf.DUMMYFUNCTION("""COMPUTED_VALUE"""),"Amara Suryani Putri")</f>
        <v>Amara Suryani Putri</v>
      </c>
      <c r="J502" s="6" t="str">
        <f>IFERROR(__xludf.DUMMYFUNCTION("""COMPUTED_VALUE"""),"Budi Istiyanto")</f>
        <v>Budi Istiyanto</v>
      </c>
      <c r="K502" s="6"/>
      <c r="L502" s="6"/>
      <c r="M502" s="6"/>
      <c r="N502" s="6"/>
      <c r="O502" s="6"/>
      <c r="P502" s="10" t="str">
        <f>IFERROR(__xludf.DUMMYFUNCTION("""COMPUTED_VALUE"""),"Amara Suryani Putri,Budi Istiyanto,,")</f>
        <v>Amara Suryani Putri,Budi Istiyanto,,</v>
      </c>
      <c r="Q502" s="11" t="str">
        <f>IFERROR(__xludf.DUMMYFUNCTION("""COMPUTED_VALUE"""),"https://ojs.cahayamandalika.com/index.php/jomla/article/view/1156/969")</f>
        <v>https://ojs.cahayamandalika.com/index.php/jomla/article/view/1156/969</v>
      </c>
      <c r="R502" s="6"/>
    </row>
    <row r="503">
      <c r="A503" s="5">
        <f>IFERROR(__xludf.DUMMYFUNCTION("""COMPUTED_VALUE"""),502.0)</f>
        <v>502</v>
      </c>
      <c r="B503" s="6" t="str">
        <f>IFERROR(__xludf.DUMMYFUNCTION("""COMPUTED_VALUE"""),"Menggali Potensi Customer-Fit Reconfiguring Capability: Solusi Inovatif untuk Meningkatkan Salesperson Performance")</f>
        <v>Menggali Potensi Customer-Fit Reconfiguring Capability: Solusi Inovatif untuk Meningkatkan Salesperson Performance</v>
      </c>
      <c r="C503" s="7">
        <f>IFERROR(__xludf.DUMMYFUNCTION("""COMPUTED_VALUE"""),2022.0)</f>
        <v>2022</v>
      </c>
      <c r="D503" s="8" t="str">
        <f>IFERROR(__xludf.DUMMYFUNCTION("""COMPUTED_VALUE"""),"2022/2023")</f>
        <v>2022/2023</v>
      </c>
      <c r="E503" s="9">
        <f>IFERROR(__xludf.DUMMYFUNCTION("""COMPUTED_VALUE"""),44917.0)</f>
        <v>44917</v>
      </c>
      <c r="F503" s="5" t="str">
        <f>IFERROR(__xludf.DUMMYFUNCTION("""COMPUTED_VALUE"""),"Ganjil")</f>
        <v>Ganjil</v>
      </c>
      <c r="G503" s="5" t="str">
        <f>IFERROR(__xludf.DUMMYFUNCTION("""COMPUTED_VALUE"""),"Manajemen")</f>
        <v>Manajemen</v>
      </c>
      <c r="H503" s="10" t="str">
        <f>IFERROR(__xludf.DUMMYFUNCTION("""COMPUTED_VALUE"""),"Dosen")</f>
        <v>Dosen</v>
      </c>
      <c r="I503" s="6" t="str">
        <f>IFERROR(__xludf.DUMMYFUNCTION("""COMPUTED_VALUE"""),"Ginanjar Rahmawan")</f>
        <v>Ginanjar Rahmawan</v>
      </c>
      <c r="J503" s="6"/>
      <c r="K503" s="6"/>
      <c r="L503" s="6"/>
      <c r="M503" s="6"/>
      <c r="N503" s="6"/>
      <c r="O503" s="6"/>
      <c r="P503" s="10" t="str">
        <f>IFERROR(__xludf.DUMMYFUNCTION("""COMPUTED_VALUE"""),"Ginanjar Rahmawan,,,")</f>
        <v>Ginanjar Rahmawan,,,</v>
      </c>
      <c r="Q503" s="11" t="str">
        <f>IFERROR(__xludf.DUMMYFUNCTION("""COMPUTED_VALUE"""),"https://www.google.co.id/books/edition/Menggali_Potensi_Customer_Fit_Reconfigur/BWPcEAAAQBAJ?hl=id&amp;gbpv=1&amp;printsec=frontcover")</f>
        <v>https://www.google.co.id/books/edition/Menggali_Potensi_Customer_Fit_Reconfigur/BWPcEAAAQBAJ?hl=id&amp;gbpv=1&amp;printsec=frontcover</v>
      </c>
      <c r="R503" s="6"/>
    </row>
    <row r="504">
      <c r="A504" s="5">
        <f>IFERROR(__xludf.DUMMYFUNCTION("""COMPUTED_VALUE"""),503.0)</f>
        <v>503</v>
      </c>
      <c r="B504" s="6" t="str">
        <f>IFERROR(__xludf.DUMMYFUNCTION("""COMPUTED_VALUE"""),"Novelty: Customer Fit Reconfiguring Capability (Sebuah Kebaruan Variabel)")</f>
        <v>Novelty: Customer Fit Reconfiguring Capability (Sebuah Kebaruan Variabel)</v>
      </c>
      <c r="C504" s="7">
        <f>IFERROR(__xludf.DUMMYFUNCTION("""COMPUTED_VALUE"""),2022.0)</f>
        <v>2022</v>
      </c>
      <c r="D504" s="8" t="str">
        <f>IFERROR(__xludf.DUMMYFUNCTION("""COMPUTED_VALUE"""),"2022/2023")</f>
        <v>2022/2023</v>
      </c>
      <c r="E504" s="9">
        <f>IFERROR(__xludf.DUMMYFUNCTION("""COMPUTED_VALUE"""),44917.0)</f>
        <v>44917</v>
      </c>
      <c r="F504" s="5" t="str">
        <f>IFERROR(__xludf.DUMMYFUNCTION("""COMPUTED_VALUE"""),"Ganjil")</f>
        <v>Ganjil</v>
      </c>
      <c r="G504" s="5" t="str">
        <f>IFERROR(__xludf.DUMMYFUNCTION("""COMPUTED_VALUE"""),"Manajemen")</f>
        <v>Manajemen</v>
      </c>
      <c r="H504" s="10" t="str">
        <f>IFERROR(__xludf.DUMMYFUNCTION("""COMPUTED_VALUE"""),"Dosen")</f>
        <v>Dosen</v>
      </c>
      <c r="I504" s="6" t="str">
        <f>IFERROR(__xludf.DUMMYFUNCTION("""COMPUTED_VALUE"""),"Ginanjar Rahmawan")</f>
        <v>Ginanjar Rahmawan</v>
      </c>
      <c r="J504" s="6"/>
      <c r="K504" s="6"/>
      <c r="L504" s="6"/>
      <c r="M504" s="6"/>
      <c r="N504" s="6"/>
      <c r="O504" s="6"/>
      <c r="P504" s="10" t="str">
        <f>IFERROR(__xludf.DUMMYFUNCTION("""COMPUTED_VALUE"""),"Ginanjar Rahmawan,,,")</f>
        <v>Ginanjar Rahmawan,,,</v>
      </c>
      <c r="Q504" s="11" t="str">
        <f>IFERROR(__xludf.DUMMYFUNCTION("""COMPUTED_VALUE"""),"https://drive.google.com/file/d/1dao08IZmDOFusFyIYP-GJhEUR_3Ge3eo/view?usp=drive_link")</f>
        <v>https://drive.google.com/file/d/1dao08IZmDOFusFyIYP-GJhEUR_3Ge3eo/view?usp=drive_link</v>
      </c>
      <c r="R504" s="6"/>
    </row>
    <row r="505">
      <c r="A505" s="5">
        <f>IFERROR(__xludf.DUMMYFUNCTION("""COMPUTED_VALUE"""),504.0)</f>
        <v>504</v>
      </c>
      <c r="B505" s="6" t="str">
        <f>IFERROR(__xludf.DUMMYFUNCTION("""COMPUTED_VALUE"""),"PENGARUH KEPEMIMPINAN, KOMPENSASI DAN DISIPLIN KERJA TERHADAP PRODUKTIVITAS KERJA KARYAWAN BAGIAN PRODUKSI PADA PRATAMA ROTAN DI KABUPATEN SUKOHARJO")</f>
        <v>PENGARUH KEPEMIMPINAN, KOMPENSASI DAN DISIPLIN KERJA TERHADAP PRODUKTIVITAS KERJA KARYAWAN BAGIAN PRODUKSI PADA PRATAMA ROTAN DI KABUPATEN SUKOHARJO</v>
      </c>
      <c r="C505" s="7">
        <f>IFERROR(__xludf.DUMMYFUNCTION("""COMPUTED_VALUE"""),2022.0)</f>
        <v>2022</v>
      </c>
      <c r="D505" s="8" t="str">
        <f>IFERROR(__xludf.DUMMYFUNCTION("""COMPUTED_VALUE"""),"2022/2023")</f>
        <v>2022/2023</v>
      </c>
      <c r="E505" s="9">
        <f>IFERROR(__xludf.DUMMYFUNCTION("""COMPUTED_VALUE"""),44917.0)</f>
        <v>44917</v>
      </c>
      <c r="F505" s="5" t="str">
        <f>IFERROR(__xludf.DUMMYFUNCTION("""COMPUTED_VALUE"""),"Ganjil")</f>
        <v>Ganjil</v>
      </c>
      <c r="G505" s="5" t="str">
        <f>IFERROR(__xludf.DUMMYFUNCTION("""COMPUTED_VALUE"""),"Manajemen")</f>
        <v>Manajemen</v>
      </c>
      <c r="H505" s="10" t="str">
        <f>IFERROR(__xludf.DUMMYFUNCTION("""COMPUTED_VALUE"""),"Mahasiswa")</f>
        <v>Mahasiswa</v>
      </c>
      <c r="I505" s="6" t="str">
        <f>IFERROR(__xludf.DUMMYFUNCTION("""COMPUTED_VALUE"""),"FANY WIHARTANTO")</f>
        <v>FANY WIHARTANTO</v>
      </c>
      <c r="J505" s="6" t="str">
        <f>IFERROR(__xludf.DUMMYFUNCTION("""COMPUTED_VALUE"""),"Ginanjar Rahmawan")</f>
        <v>Ginanjar Rahmawan</v>
      </c>
      <c r="K505" s="6"/>
      <c r="L505" s="6"/>
      <c r="M505" s="6"/>
      <c r="N505" s="6"/>
      <c r="O505" s="6"/>
      <c r="P505" s="10" t="str">
        <f>IFERROR(__xludf.DUMMYFUNCTION("""COMPUTED_VALUE"""),"FANY WIHARTANTO,Ginanjar Rahmawan,,")</f>
        <v>FANY WIHARTANTO,Ginanjar Rahmawan,,</v>
      </c>
      <c r="Q505" s="11" t="str">
        <f>IFERROR(__xludf.DUMMYFUNCTION("""COMPUTED_VALUE"""),"https://ejournal.goacademica.com/index.php/jk/article/view/636")</f>
        <v>https://ejournal.goacademica.com/index.php/jk/article/view/636</v>
      </c>
      <c r="R505" s="6"/>
    </row>
    <row r="506">
      <c r="A506" s="5">
        <f>IFERROR(__xludf.DUMMYFUNCTION("""COMPUTED_VALUE"""),505.0)</f>
        <v>505</v>
      </c>
      <c r="B506" s="6" t="str">
        <f>IFERROR(__xludf.DUMMYFUNCTION("""COMPUTED_VALUE"""),"Pengaruh Kualitas Pelayanan Terhadap Kepuasan Mahasiswa Sekolah Bisnis Di Surakarta")</f>
        <v>Pengaruh Kualitas Pelayanan Terhadap Kepuasan Mahasiswa Sekolah Bisnis Di Surakarta</v>
      </c>
      <c r="C506" s="7">
        <f>IFERROR(__xludf.DUMMYFUNCTION("""COMPUTED_VALUE"""),2022.0)</f>
        <v>2022</v>
      </c>
      <c r="D506" s="8" t="str">
        <f>IFERROR(__xludf.DUMMYFUNCTION("""COMPUTED_VALUE"""),"2022/2023")</f>
        <v>2022/2023</v>
      </c>
      <c r="E506" s="9">
        <f>IFERROR(__xludf.DUMMYFUNCTION("""COMPUTED_VALUE"""),44918.0)</f>
        <v>44918</v>
      </c>
      <c r="F506" s="5" t="str">
        <f>IFERROR(__xludf.DUMMYFUNCTION("""COMPUTED_VALUE"""),"Ganjil")</f>
        <v>Ganjil</v>
      </c>
      <c r="G506" s="5" t="str">
        <f>IFERROR(__xludf.DUMMYFUNCTION("""COMPUTED_VALUE"""),"Manajemen")</f>
        <v>Manajemen</v>
      </c>
      <c r="H506" s="10" t="str">
        <f>IFERROR(__xludf.DUMMYFUNCTION("""COMPUTED_VALUE"""),"Mahasiswa")</f>
        <v>Mahasiswa</v>
      </c>
      <c r="I506" s="6" t="str">
        <f>IFERROR(__xludf.DUMMYFUNCTION("""COMPUTED_VALUE"""),"Dian Saptorini Putri Indah Sari")</f>
        <v>Dian Saptorini Putri Indah Sari</v>
      </c>
      <c r="J506" s="6" t="str">
        <f>IFERROR(__xludf.DUMMYFUNCTION("""COMPUTED_VALUE"""),"Budi Istiyanto")</f>
        <v>Budi Istiyanto</v>
      </c>
      <c r="K506" s="6"/>
      <c r="L506" s="6"/>
      <c r="M506" s="6"/>
      <c r="N506" s="6"/>
      <c r="O506" s="6"/>
      <c r="P506" s="10" t="str">
        <f>IFERROR(__xludf.DUMMYFUNCTION("""COMPUTED_VALUE"""),"Dian Saptorini Putri Indah Sari,Budi Istiyanto,,")</f>
        <v>Dian Saptorini Putri Indah Sari,Budi Istiyanto,,</v>
      </c>
      <c r="Q506" s="11" t="str">
        <f>IFERROR(__xludf.DUMMYFUNCTION("""COMPUTED_VALUE"""),"https://ojs.cahayamandalika.com/index.php/jtm/article/view/1181")</f>
        <v>https://ojs.cahayamandalika.com/index.php/jtm/article/view/1181</v>
      </c>
      <c r="R506" s="6"/>
    </row>
    <row r="507">
      <c r="A507" s="5">
        <f>IFERROR(__xludf.DUMMYFUNCTION("""COMPUTED_VALUE"""),506.0)</f>
        <v>506</v>
      </c>
      <c r="B507" s="6" t="str">
        <f>IFERROR(__xludf.DUMMYFUNCTION("""COMPUTED_VALUE"""),"ANALISIS FAKTOR FAKTOR YANG MEMPENGARUHI PENJUALAN BATIK SAAT MASA PANDEMI COVID 10 DI KOTA KLATEN")</f>
        <v>ANALISIS FAKTOR FAKTOR YANG MEMPENGARUHI PENJUALAN BATIK SAAT MASA PANDEMI COVID 10 DI KOTA KLATEN</v>
      </c>
      <c r="C507" s="7">
        <f>IFERROR(__xludf.DUMMYFUNCTION("""COMPUTED_VALUE"""),2022.0)</f>
        <v>2022</v>
      </c>
      <c r="D507" s="8" t="str">
        <f>IFERROR(__xludf.DUMMYFUNCTION("""COMPUTED_VALUE"""),"2022/2023")</f>
        <v>2022/2023</v>
      </c>
      <c r="E507" s="9">
        <f>IFERROR(__xludf.DUMMYFUNCTION("""COMPUTED_VALUE"""),44918.0)</f>
        <v>44918</v>
      </c>
      <c r="F507" s="5" t="str">
        <f>IFERROR(__xludf.DUMMYFUNCTION("""COMPUTED_VALUE"""),"Ganjil")</f>
        <v>Ganjil</v>
      </c>
      <c r="G507" s="5" t="str">
        <f>IFERROR(__xludf.DUMMYFUNCTION("""COMPUTED_VALUE"""),"Akuntansi")</f>
        <v>Akuntansi</v>
      </c>
      <c r="H507" s="10" t="str">
        <f>IFERROR(__xludf.DUMMYFUNCTION("""COMPUTED_VALUE"""),"Mahasiswa")</f>
        <v>Mahasiswa</v>
      </c>
      <c r="I507" s="6" t="str">
        <f>IFERROR(__xludf.DUMMYFUNCTION("""COMPUTED_VALUE"""),"ALVIN ADAM")</f>
        <v>ALVIN ADAM</v>
      </c>
      <c r="J507" s="6" t="str">
        <f>IFERROR(__xludf.DUMMYFUNCTION("""COMPUTED_VALUE"""),"Rosita")</f>
        <v>Rosita</v>
      </c>
      <c r="K507" s="6"/>
      <c r="L507" s="6"/>
      <c r="M507" s="6"/>
      <c r="N507" s="6"/>
      <c r="O507" s="6"/>
      <c r="P507" s="10" t="str">
        <f>IFERROR(__xludf.DUMMYFUNCTION("""COMPUTED_VALUE"""),"ALVIN ADAM,Rosita,,")</f>
        <v>ALVIN ADAM,Rosita,,</v>
      </c>
      <c r="Q507" s="11" t="str">
        <f>IFERROR(__xludf.DUMMYFUNCTION("""COMPUTED_VALUE"""),"https://journalshub.org/index.php/jebaku/article/view/882")</f>
        <v>https://journalshub.org/index.php/jebaku/article/view/882</v>
      </c>
      <c r="R507" s="6"/>
    </row>
    <row r="508">
      <c r="A508" s="5">
        <f>IFERROR(__xludf.DUMMYFUNCTION("""COMPUTED_VALUE"""),507.0)</f>
        <v>507</v>
      </c>
      <c r="B508" s="6" t="str">
        <f>IFERROR(__xludf.DUMMYFUNCTION("""COMPUTED_VALUE"""),"Pengaruh Kualitas Pelayanan terhadap Kepuasan Mahasiswa Sekolah")</f>
        <v>Pengaruh Kualitas Pelayanan terhadap Kepuasan Mahasiswa Sekolah</v>
      </c>
      <c r="C508" s="7">
        <f>IFERROR(__xludf.DUMMYFUNCTION("""COMPUTED_VALUE"""),2022.0)</f>
        <v>2022</v>
      </c>
      <c r="D508" s="8" t="str">
        <f>IFERROR(__xludf.DUMMYFUNCTION("""COMPUTED_VALUE"""),"2022/2023")</f>
        <v>2022/2023</v>
      </c>
      <c r="E508" s="9">
        <f>IFERROR(__xludf.DUMMYFUNCTION("""COMPUTED_VALUE"""),44918.0)</f>
        <v>44918</v>
      </c>
      <c r="F508" s="5" t="str">
        <f>IFERROR(__xludf.DUMMYFUNCTION("""COMPUTED_VALUE"""),"Ganjil")</f>
        <v>Ganjil</v>
      </c>
      <c r="G508" s="5" t="str">
        <f>IFERROR(__xludf.DUMMYFUNCTION("""COMPUTED_VALUE"""),"Manajemen")</f>
        <v>Manajemen</v>
      </c>
      <c r="H508" s="10" t="str">
        <f>IFERROR(__xludf.DUMMYFUNCTION("""COMPUTED_VALUE"""),"Mahasiswa")</f>
        <v>Mahasiswa</v>
      </c>
      <c r="I508" s="6" t="str">
        <f>IFERROR(__xludf.DUMMYFUNCTION("""COMPUTED_VALUE"""),"Dian Saptorini Putri Indah Sari")</f>
        <v>Dian Saptorini Putri Indah Sari</v>
      </c>
      <c r="J508" s="6" t="str">
        <f>IFERROR(__xludf.DUMMYFUNCTION("""COMPUTED_VALUE"""),"Budi Istiyanto")</f>
        <v>Budi Istiyanto</v>
      </c>
      <c r="K508" s="6"/>
      <c r="L508" s="6"/>
      <c r="M508" s="6"/>
      <c r="N508" s="6"/>
      <c r="O508" s="6"/>
      <c r="P508" s="10" t="str">
        <f>IFERROR(__xludf.DUMMYFUNCTION("""COMPUTED_VALUE"""),"Dian Saptorini Putri Indah Sari,Budi Istiyanto,,")</f>
        <v>Dian Saptorini Putri Indah Sari,Budi Istiyanto,,</v>
      </c>
      <c r="Q508" s="11" t="str">
        <f>IFERROR(__xludf.DUMMYFUNCTION("""COMPUTED_VALUE"""),"https://www.ojs.cahayamandalika.com/index.php/jtm/article/view/1181")</f>
        <v>https://www.ojs.cahayamandalika.com/index.php/jtm/article/view/1181</v>
      </c>
      <c r="R508" s="6"/>
    </row>
    <row r="509">
      <c r="A509" s="5">
        <f>IFERROR(__xludf.DUMMYFUNCTION("""COMPUTED_VALUE"""),508.0)</f>
        <v>508</v>
      </c>
      <c r="B509" s="6" t="str">
        <f>IFERROR(__xludf.DUMMYFUNCTION("""COMPUTED_VALUE"""),"Analisis Faktor Faktor yang Mempengaruhi Penjualan Batik Saat Masa Pandemi Covid 19 di Kota Klaten")</f>
        <v>Analisis Faktor Faktor yang Mempengaruhi Penjualan Batik Saat Masa Pandemi Covid 19 di Kota Klaten</v>
      </c>
      <c r="C509" s="7">
        <f>IFERROR(__xludf.DUMMYFUNCTION("""COMPUTED_VALUE"""),2022.0)</f>
        <v>2022</v>
      </c>
      <c r="D509" s="8" t="str">
        <f>IFERROR(__xludf.DUMMYFUNCTION("""COMPUTED_VALUE"""),"2022/2023")</f>
        <v>2022/2023</v>
      </c>
      <c r="E509" s="9">
        <f>IFERROR(__xludf.DUMMYFUNCTION("""COMPUTED_VALUE"""),44918.0)</f>
        <v>44918</v>
      </c>
      <c r="F509" s="5" t="str">
        <f>IFERROR(__xludf.DUMMYFUNCTION("""COMPUTED_VALUE"""),"Ganjil")</f>
        <v>Ganjil</v>
      </c>
      <c r="G509" s="5" t="str">
        <f>IFERROR(__xludf.DUMMYFUNCTION("""COMPUTED_VALUE"""),"Akuntansi")</f>
        <v>Akuntansi</v>
      </c>
      <c r="H509" s="10" t="str">
        <f>IFERROR(__xludf.DUMMYFUNCTION("""COMPUTED_VALUE"""),"Mahasiswa")</f>
        <v>Mahasiswa</v>
      </c>
      <c r="I509" s="6" t="str">
        <f>IFERROR(__xludf.DUMMYFUNCTION("""COMPUTED_VALUE"""),"Alvin Adam")</f>
        <v>Alvin Adam</v>
      </c>
      <c r="J509" s="6" t="str">
        <f>IFERROR(__xludf.DUMMYFUNCTION("""COMPUTED_VALUE"""),"Rosita")</f>
        <v>Rosita</v>
      </c>
      <c r="K509" s="6"/>
      <c r="L509" s="6"/>
      <c r="M509" s="6"/>
      <c r="N509" s="6"/>
      <c r="O509" s="6"/>
      <c r="P509" s="10" t="str">
        <f>IFERROR(__xludf.DUMMYFUNCTION("""COMPUTED_VALUE"""),"Alvin Adam,Rosita,,")</f>
        <v>Alvin Adam,Rosita,,</v>
      </c>
      <c r="Q509" s="11" t="str">
        <f>IFERROR(__xludf.DUMMYFUNCTION("""COMPUTED_VALUE"""),"https://journalshub.org/index.php/jebaku/article/view/882")</f>
        <v>https://journalshub.org/index.php/jebaku/article/view/882</v>
      </c>
      <c r="R509" s="6"/>
    </row>
    <row r="510">
      <c r="A510" s="5">
        <f>IFERROR(__xludf.DUMMYFUNCTION("""COMPUTED_VALUE"""),509.0)</f>
        <v>509</v>
      </c>
      <c r="B510" s="6" t="str">
        <f>IFERROR(__xludf.DUMMYFUNCTION("""COMPUTED_VALUE"""),"Pengaruh Gaya Hidup, Citra Merek, Sosial, dan Kualitas Produk Terhadap Keputusan Pembelian Tas Branded KW")</f>
        <v>Pengaruh Gaya Hidup, Citra Merek, Sosial, dan Kualitas Produk Terhadap Keputusan Pembelian Tas Branded KW</v>
      </c>
      <c r="C510" s="7">
        <f>IFERROR(__xludf.DUMMYFUNCTION("""COMPUTED_VALUE"""),2022.0)</f>
        <v>2022</v>
      </c>
      <c r="D510" s="8" t="str">
        <f>IFERROR(__xludf.DUMMYFUNCTION("""COMPUTED_VALUE"""),"2022/2023")</f>
        <v>2022/2023</v>
      </c>
      <c r="E510" s="9">
        <f>IFERROR(__xludf.DUMMYFUNCTION("""COMPUTED_VALUE"""),44922.0)</f>
        <v>44922</v>
      </c>
      <c r="F510" s="5" t="str">
        <f>IFERROR(__xludf.DUMMYFUNCTION("""COMPUTED_VALUE"""),"Ganjil")</f>
        <v>Ganjil</v>
      </c>
      <c r="G510" s="5" t="str">
        <f>IFERROR(__xludf.DUMMYFUNCTION("""COMPUTED_VALUE"""),"Manajemen")</f>
        <v>Manajemen</v>
      </c>
      <c r="H510" s="10" t="str">
        <f>IFERROR(__xludf.DUMMYFUNCTION("""COMPUTED_VALUE"""),"Mahasiswa")</f>
        <v>Mahasiswa</v>
      </c>
      <c r="I510" s="6" t="str">
        <f>IFERROR(__xludf.DUMMYFUNCTION("""COMPUTED_VALUE"""),"Sabike Tabitha Bora")</f>
        <v>Sabike Tabitha Bora</v>
      </c>
      <c r="J510" s="6" t="str">
        <f>IFERROR(__xludf.DUMMYFUNCTION("""COMPUTED_VALUE"""),"Ginanjar Rahmawan")</f>
        <v>Ginanjar Rahmawan</v>
      </c>
      <c r="K510" s="6"/>
      <c r="L510" s="6"/>
      <c r="M510" s="6"/>
      <c r="N510" s="6"/>
      <c r="O510" s="6"/>
      <c r="P510" s="10" t="str">
        <f>IFERROR(__xludf.DUMMYFUNCTION("""COMPUTED_VALUE"""),"Sabike Tabitha Bora,Ginanjar Rahmawan,,")</f>
        <v>Sabike Tabitha Bora,Ginanjar Rahmawan,,</v>
      </c>
      <c r="Q510" s="11" t="str">
        <f>IFERROR(__xludf.DUMMYFUNCTION("""COMPUTED_VALUE"""),"https://jurnal.stiesurakarta.ac.id/index.php/jebdeker/article/view/129")</f>
        <v>https://jurnal.stiesurakarta.ac.id/index.php/jebdeker/article/view/129</v>
      </c>
      <c r="R510" s="6"/>
    </row>
    <row r="511">
      <c r="A511" s="5">
        <f>IFERROR(__xludf.DUMMYFUNCTION("""COMPUTED_VALUE"""),510.0)</f>
        <v>510</v>
      </c>
      <c r="B511" s="6" t="str">
        <f>IFERROR(__xludf.DUMMYFUNCTION("""COMPUTED_VALUE"""),"Pengaruh Keamanan, Kemudahan, Kepercayaan, dan Persepsi Risiko PadaMinat Pembelian Emas Digital Di Era Pandemi Covid-19")</f>
        <v>Pengaruh Keamanan, Kemudahan, Kepercayaan, dan Persepsi Risiko PadaMinat Pembelian Emas Digital Di Era Pandemi Covid-19</v>
      </c>
      <c r="C511" s="7">
        <f>IFERROR(__xludf.DUMMYFUNCTION("""COMPUTED_VALUE"""),2022.0)</f>
        <v>2022</v>
      </c>
      <c r="D511" s="8" t="str">
        <f>IFERROR(__xludf.DUMMYFUNCTION("""COMPUTED_VALUE"""),"2022/2023")</f>
        <v>2022/2023</v>
      </c>
      <c r="E511" s="9">
        <f>IFERROR(__xludf.DUMMYFUNCTION("""COMPUTED_VALUE"""),44922.0)</f>
        <v>44922</v>
      </c>
      <c r="F511" s="5" t="str">
        <f>IFERROR(__xludf.DUMMYFUNCTION("""COMPUTED_VALUE"""),"Ganjil")</f>
        <v>Ganjil</v>
      </c>
      <c r="G511" s="5" t="str">
        <f>IFERROR(__xludf.DUMMYFUNCTION("""COMPUTED_VALUE"""),"Manajemen")</f>
        <v>Manajemen</v>
      </c>
      <c r="H511" s="10" t="str">
        <f>IFERROR(__xludf.DUMMYFUNCTION("""COMPUTED_VALUE"""),"Mahasiswa")</f>
        <v>Mahasiswa</v>
      </c>
      <c r="I511" s="6" t="str">
        <f>IFERROR(__xludf.DUMMYFUNCTION("""COMPUTED_VALUE"""),"Ardiansyah Efendi")</f>
        <v>Ardiansyah Efendi</v>
      </c>
      <c r="J511" s="6" t="str">
        <f>IFERROR(__xludf.DUMMYFUNCTION("""COMPUTED_VALUE"""),"Ginanjar Rahmawan")</f>
        <v>Ginanjar Rahmawan</v>
      </c>
      <c r="K511" s="6"/>
      <c r="L511" s="6"/>
      <c r="M511" s="6"/>
      <c r="N511" s="6"/>
      <c r="O511" s="6"/>
      <c r="P511" s="10" t="str">
        <f>IFERROR(__xludf.DUMMYFUNCTION("""COMPUTED_VALUE"""),"Ardiansyah Efendi,Ginanjar Rahmawan,,")</f>
        <v>Ardiansyah Efendi,Ginanjar Rahmawan,,</v>
      </c>
      <c r="Q511" s="11" t="str">
        <f>IFERROR(__xludf.DUMMYFUNCTION("""COMPUTED_VALUE"""),"https://jurnal.stiesurakarta.ac.id/index.php/jebdeker/article/view/129")</f>
        <v>https://jurnal.stiesurakarta.ac.id/index.php/jebdeker/article/view/129</v>
      </c>
      <c r="R511" s="6"/>
    </row>
    <row r="512">
      <c r="A512" s="5">
        <f>IFERROR(__xludf.DUMMYFUNCTION("""COMPUTED_VALUE"""),511.0)</f>
        <v>511</v>
      </c>
      <c r="B512" s="6" t="str">
        <f>IFERROR(__xludf.DUMMYFUNCTION("""COMPUTED_VALUE"""),"Pengaruh lJkuran Perusahaan, Profitabilitas dan Umur Perusahaan terhadap Audit Delay (Studi Empiris Pada Perusahaan Otomotif Yang Terdaftar Di Bursa Efek Indonesia Pada Tahun 2Ol9-2O21)")</f>
        <v>Pengaruh lJkuran Perusahaan, Profitabilitas dan Umur Perusahaan terhadap Audit Delay (Studi Empiris Pada Perusahaan Otomotif Yang Terdaftar Di Bursa Efek Indonesia Pada Tahun 2Ol9-2O21)</v>
      </c>
      <c r="C512" s="7">
        <f>IFERROR(__xludf.DUMMYFUNCTION("""COMPUTED_VALUE"""),2022.0)</f>
        <v>2022</v>
      </c>
      <c r="D512" s="8" t="str">
        <f>IFERROR(__xludf.DUMMYFUNCTION("""COMPUTED_VALUE"""),"2022/2023")</f>
        <v>2022/2023</v>
      </c>
      <c r="E512" s="9">
        <f>IFERROR(__xludf.DUMMYFUNCTION("""COMPUTED_VALUE"""),44924.0)</f>
        <v>44924</v>
      </c>
      <c r="F512" s="5" t="str">
        <f>IFERROR(__xludf.DUMMYFUNCTION("""COMPUTED_VALUE"""),"Ganjil")</f>
        <v>Ganjil</v>
      </c>
      <c r="G512" s="5" t="str">
        <f>IFERROR(__xludf.DUMMYFUNCTION("""COMPUTED_VALUE"""),"Akuntansi")</f>
        <v>Akuntansi</v>
      </c>
      <c r="H512" s="10" t="str">
        <f>IFERROR(__xludf.DUMMYFUNCTION("""COMPUTED_VALUE"""),"Mahasiswa")</f>
        <v>Mahasiswa</v>
      </c>
      <c r="I512" s="6" t="str">
        <f>IFERROR(__xludf.DUMMYFUNCTION("""COMPUTED_VALUE"""),"Yuliana Nur hidayah")</f>
        <v>Yuliana Nur hidayah</v>
      </c>
      <c r="J512" s="6" t="str">
        <f>IFERROR(__xludf.DUMMYFUNCTION("""COMPUTED_VALUE"""),"Nur Kholis")</f>
        <v>Nur Kholis</v>
      </c>
      <c r="K512" s="6"/>
      <c r="L512" s="6"/>
      <c r="M512" s="6"/>
      <c r="N512" s="6"/>
      <c r="O512" s="6"/>
      <c r="P512" s="10" t="str">
        <f>IFERROR(__xludf.DUMMYFUNCTION("""COMPUTED_VALUE"""),"Yuliana Nur hidayah,Nur Kholis,,")</f>
        <v>Yuliana Nur hidayah,Nur Kholis,,</v>
      </c>
      <c r="Q512" s="11" t="str">
        <f>IFERROR(__xludf.DUMMYFUNCTION("""COMPUTED_VALUE"""),"https://repository.stiesurakarta.ac.id/submission/06430514-6dc1-4e4f-8a08-825154b70f08")</f>
        <v>https://repository.stiesurakarta.ac.id/submission/06430514-6dc1-4e4f-8a08-825154b70f08</v>
      </c>
      <c r="R512" s="6"/>
    </row>
    <row r="513">
      <c r="A513" s="5">
        <f>IFERROR(__xludf.DUMMYFUNCTION("""COMPUTED_VALUE"""),512.0)</f>
        <v>512</v>
      </c>
      <c r="B513" s="6" t="str">
        <f>IFERROR(__xludf.DUMMYFUNCTION("""COMPUTED_VALUE"""),"Analisis Faktor-Faktor yang Mempengaruhi Audit Deluy pada Perusahaan Sektor Manufaktur Sub Sektor Makanan dan Minuman yang Terdaftar di Bursa Efek lndonesia Periode 20fi.2020")</f>
        <v>Analisis Faktor-Faktor yang Mempengaruhi Audit Deluy pada Perusahaan Sektor Manufaktur Sub Sektor Makanan dan Minuman yang Terdaftar di Bursa Efek lndonesia Periode 20fi.2020</v>
      </c>
      <c r="C513" s="7">
        <f>IFERROR(__xludf.DUMMYFUNCTION("""COMPUTED_VALUE"""),2022.0)</f>
        <v>2022</v>
      </c>
      <c r="D513" s="8" t="str">
        <f>IFERROR(__xludf.DUMMYFUNCTION("""COMPUTED_VALUE"""),"2022/2023")</f>
        <v>2022/2023</v>
      </c>
      <c r="E513" s="9">
        <f>IFERROR(__xludf.DUMMYFUNCTION("""COMPUTED_VALUE"""),44924.0)</f>
        <v>44924</v>
      </c>
      <c r="F513" s="5" t="str">
        <f>IFERROR(__xludf.DUMMYFUNCTION("""COMPUTED_VALUE"""),"Ganjil")</f>
        <v>Ganjil</v>
      </c>
      <c r="G513" s="5" t="str">
        <f>IFERROR(__xludf.DUMMYFUNCTION("""COMPUTED_VALUE"""),"Akuntansi")</f>
        <v>Akuntansi</v>
      </c>
      <c r="H513" s="10" t="str">
        <f>IFERROR(__xludf.DUMMYFUNCTION("""COMPUTED_VALUE"""),"Mahasiswa")</f>
        <v>Mahasiswa</v>
      </c>
      <c r="I513" s="6" t="str">
        <f>IFERROR(__xludf.DUMMYFUNCTION("""COMPUTED_VALUE"""),"Widya Ningsih")</f>
        <v>Widya Ningsih</v>
      </c>
      <c r="J513" s="6" t="str">
        <f>IFERROR(__xludf.DUMMYFUNCTION("""COMPUTED_VALUE"""),"Nur Kholis")</f>
        <v>Nur Kholis</v>
      </c>
      <c r="K513" s="6"/>
      <c r="L513" s="6"/>
      <c r="M513" s="6"/>
      <c r="N513" s="6"/>
      <c r="O513" s="6"/>
      <c r="P513" s="10" t="str">
        <f>IFERROR(__xludf.DUMMYFUNCTION("""COMPUTED_VALUE"""),"Widya Ningsih,Nur Kholis,,")</f>
        <v>Widya Ningsih,Nur Kholis,,</v>
      </c>
      <c r="Q513" s="11" t="str">
        <f>IFERROR(__xludf.DUMMYFUNCTION("""COMPUTED_VALUE"""),"https://repository.stiesurakarta.ac.id/submission/5e509096-130a-4a9b-bd27-7b003128ae44")</f>
        <v>https://repository.stiesurakarta.ac.id/submission/5e509096-130a-4a9b-bd27-7b003128ae44</v>
      </c>
      <c r="R513" s="6"/>
    </row>
    <row r="514">
      <c r="A514" s="5">
        <f>IFERROR(__xludf.DUMMYFUNCTION("""COMPUTED_VALUE"""),513.0)</f>
        <v>513</v>
      </c>
      <c r="B514" s="6" t="str">
        <f>IFERROR(__xludf.DUMMYFUNCTION("""COMPUTED_VALUE"""),"Pengaruh Pendapatan, Literasi Keuangan Dan Kontrol Diri Terhadap Perilaku Konsumtif Mahasiswa Di Surakarta")</f>
        <v>Pengaruh Pendapatan, Literasi Keuangan Dan Kontrol Diri Terhadap Perilaku Konsumtif Mahasiswa Di Surakarta</v>
      </c>
      <c r="C514" s="7">
        <f>IFERROR(__xludf.DUMMYFUNCTION("""COMPUTED_VALUE"""),2022.0)</f>
        <v>2022</v>
      </c>
      <c r="D514" s="8" t="str">
        <f>IFERROR(__xludf.DUMMYFUNCTION("""COMPUTED_VALUE"""),"2022/2023")</f>
        <v>2022/2023</v>
      </c>
      <c r="E514" s="9">
        <f>IFERROR(__xludf.DUMMYFUNCTION("""COMPUTED_VALUE"""),44924.0)</f>
        <v>44924</v>
      </c>
      <c r="F514" s="5" t="str">
        <f>IFERROR(__xludf.DUMMYFUNCTION("""COMPUTED_VALUE"""),"Ganjil")</f>
        <v>Ganjil</v>
      </c>
      <c r="G514" s="5" t="str">
        <f>IFERROR(__xludf.DUMMYFUNCTION("""COMPUTED_VALUE"""),"Manajemen")</f>
        <v>Manajemen</v>
      </c>
      <c r="H514" s="10" t="str">
        <f>IFERROR(__xludf.DUMMYFUNCTION("""COMPUTED_VALUE"""),"Mahasiswa")</f>
        <v>Mahasiswa</v>
      </c>
      <c r="I514" s="6" t="str">
        <f>IFERROR(__xludf.DUMMYFUNCTION("""COMPUTED_VALUE"""),"Agata Safira Rahma Dany")</f>
        <v>Agata Safira Rahma Dany</v>
      </c>
      <c r="J514" s="6" t="str">
        <f>IFERROR(__xludf.DUMMYFUNCTION("""COMPUTED_VALUE"""),"Ari Susanti")</f>
        <v>Ari Susanti</v>
      </c>
      <c r="K514" s="6"/>
      <c r="L514" s="6"/>
      <c r="M514" s="6"/>
      <c r="N514" s="6"/>
      <c r="O514" s="6"/>
      <c r="P514" s="10" t="str">
        <f>IFERROR(__xludf.DUMMYFUNCTION("""COMPUTED_VALUE"""),"Agata Safira Rahma Dany,Ari Susanti,,")</f>
        <v>Agata Safira Rahma Dany,Ari Susanti,,</v>
      </c>
      <c r="Q514" s="11" t="str">
        <f>IFERROR(__xludf.DUMMYFUNCTION("""COMPUTED_VALUE"""),"https://bajangjournal.com/index.php/Juremi/article/view/4452")</f>
        <v>https://bajangjournal.com/index.php/Juremi/article/view/4452</v>
      </c>
      <c r="R514" s="6"/>
    </row>
    <row r="515">
      <c r="A515" s="5">
        <f>IFERROR(__xludf.DUMMYFUNCTION("""COMPUTED_VALUE"""),514.0)</f>
        <v>514</v>
      </c>
      <c r="B515" s="6" t="str">
        <f>IFERROR(__xludf.DUMMYFUNCTION("""COMPUTED_VALUE"""),"Faktor - Faktor yang Mempengaruhi Kepatuhan Wajib Pajak UMKM di Wilayah Ngemplak")</f>
        <v>Faktor - Faktor yang Mempengaruhi Kepatuhan Wajib Pajak UMKM di Wilayah Ngemplak</v>
      </c>
      <c r="C515" s="7">
        <f>IFERROR(__xludf.DUMMYFUNCTION("""COMPUTED_VALUE"""),2022.0)</f>
        <v>2022</v>
      </c>
      <c r="D515" s="8" t="str">
        <f>IFERROR(__xludf.DUMMYFUNCTION("""COMPUTED_VALUE"""),"2022/2023")</f>
        <v>2022/2023</v>
      </c>
      <c r="E515" s="9">
        <f>IFERROR(__xludf.DUMMYFUNCTION("""COMPUTED_VALUE"""),44924.0)</f>
        <v>44924</v>
      </c>
      <c r="F515" s="5" t="str">
        <f>IFERROR(__xludf.DUMMYFUNCTION("""COMPUTED_VALUE"""),"Ganjil")</f>
        <v>Ganjil</v>
      </c>
      <c r="G515" s="5" t="str">
        <f>IFERROR(__xludf.DUMMYFUNCTION("""COMPUTED_VALUE"""),"Akuntansi")</f>
        <v>Akuntansi</v>
      </c>
      <c r="H515" s="10" t="str">
        <f>IFERROR(__xludf.DUMMYFUNCTION("""COMPUTED_VALUE"""),"Dosen")</f>
        <v>Dosen</v>
      </c>
      <c r="I515" s="6" t="str">
        <f>IFERROR(__xludf.DUMMYFUNCTION("""COMPUTED_VALUE"""),"Astuning Saharsini")</f>
        <v>Astuning Saharsini</v>
      </c>
      <c r="J515" s="6" t="str">
        <f>IFERROR(__xludf.DUMMYFUNCTION("""COMPUTED_VALUE"""),"Ayu Fhatonah")</f>
        <v>Ayu Fhatonah</v>
      </c>
      <c r="K515" s="6"/>
      <c r="L515" s="6"/>
      <c r="M515" s="6"/>
      <c r="N515" s="6"/>
      <c r="O515" s="6"/>
      <c r="P515" s="10" t="str">
        <f>IFERROR(__xludf.DUMMYFUNCTION("""COMPUTED_VALUE"""),"Astuning Saharsini,Ayu Fhatonah,,")</f>
        <v>Astuning Saharsini,Ayu Fhatonah,,</v>
      </c>
      <c r="Q515" s="11" t="str">
        <f>IFERROR(__xludf.DUMMYFUNCTION("""COMPUTED_VALUE"""),"https://www.bajangjournal.com/index.php/Juremi/article/view/4457")</f>
        <v>https://www.bajangjournal.com/index.php/Juremi/article/view/4457</v>
      </c>
      <c r="R515" s="6"/>
    </row>
    <row r="516">
      <c r="A516" s="5">
        <f>IFERROR(__xludf.DUMMYFUNCTION("""COMPUTED_VALUE"""),515.0)</f>
        <v>515</v>
      </c>
      <c r="B516" s="6" t="str">
        <f>IFERROR(__xludf.DUMMYFUNCTION("""COMPUTED_VALUE"""),"PENGARUH BUDAYA ORGANISASI, SISTEM PENGENDALIAN INTERNAL DAN TEKNOLOGI INFORMASI TERHADAP KUALITAS LAPORAN KEUANGAN")</f>
        <v>PENGARUH BUDAYA ORGANISASI, SISTEM PENGENDALIAN INTERNAL DAN TEKNOLOGI INFORMASI TERHADAP KUALITAS LAPORAN KEUANGAN</v>
      </c>
      <c r="C516" s="7">
        <f>IFERROR(__xludf.DUMMYFUNCTION("""COMPUTED_VALUE"""),2022.0)</f>
        <v>2022</v>
      </c>
      <c r="D516" s="8" t="str">
        <f>IFERROR(__xludf.DUMMYFUNCTION("""COMPUTED_VALUE"""),"2022/2023")</f>
        <v>2022/2023</v>
      </c>
      <c r="E516" s="9">
        <f>IFERROR(__xludf.DUMMYFUNCTION("""COMPUTED_VALUE"""),44924.0)</f>
        <v>44924</v>
      </c>
      <c r="F516" s="5" t="str">
        <f>IFERROR(__xludf.DUMMYFUNCTION("""COMPUTED_VALUE"""),"Ganjil")</f>
        <v>Ganjil</v>
      </c>
      <c r="G516" s="5" t="str">
        <f>IFERROR(__xludf.DUMMYFUNCTION("""COMPUTED_VALUE"""),"Akuntansi")</f>
        <v>Akuntansi</v>
      </c>
      <c r="H516" s="10" t="str">
        <f>IFERROR(__xludf.DUMMYFUNCTION("""COMPUTED_VALUE"""),"Mahasiswa")</f>
        <v>Mahasiswa</v>
      </c>
      <c r="I516" s="6" t="str">
        <f>IFERROR(__xludf.DUMMYFUNCTION("""COMPUTED_VALUE"""),"Jenny Maulany Indrasari,")</f>
        <v>Jenny Maulany Indrasari,</v>
      </c>
      <c r="J516" s="6" t="str">
        <f>IFERROR(__xludf.DUMMYFUNCTION("""COMPUTED_VALUE"""),"Ismunawan")</f>
        <v>Ismunawan</v>
      </c>
      <c r="K516" s="6"/>
      <c r="L516" s="6"/>
      <c r="M516" s="6"/>
      <c r="N516" s="6"/>
      <c r="O516" s="6"/>
      <c r="P516" s="10" t="str">
        <f>IFERROR(__xludf.DUMMYFUNCTION("""COMPUTED_VALUE"""),"Jenny Maulany Indrasari,,Ismunawan,,")</f>
        <v>Jenny Maulany Indrasari,,Ismunawan,,</v>
      </c>
      <c r="Q516" s="11" t="str">
        <f>IFERROR(__xludf.DUMMYFUNCTION("""COMPUTED_VALUE"""),"https://journalshub.org/index.php/jebaku/article/view/732")</f>
        <v>https://journalshub.org/index.php/jebaku/article/view/732</v>
      </c>
      <c r="R516" s="6"/>
    </row>
    <row r="517">
      <c r="A517" s="5">
        <f>IFERROR(__xludf.DUMMYFUNCTION("""COMPUTED_VALUE"""),516.0)</f>
        <v>516</v>
      </c>
      <c r="B517" s="6" t="str">
        <f>IFERROR(__xludf.DUMMYFUNCTION("""COMPUTED_VALUE"""),"FAKTOR - FAKTOR YANG MEMPENGARUHI MINAT PERILAKU WAJIB PAJAK ORANG PRIBADI DALAM MENGGUNAKAN E-FILING DI KOTA SURAKARTA")</f>
        <v>FAKTOR - FAKTOR YANG MEMPENGARUHI MINAT PERILAKU WAJIB PAJAK ORANG PRIBADI DALAM MENGGUNAKAN E-FILING DI KOTA SURAKARTA</v>
      </c>
      <c r="C517" s="7">
        <f>IFERROR(__xludf.DUMMYFUNCTION("""COMPUTED_VALUE"""),2022.0)</f>
        <v>2022</v>
      </c>
      <c r="D517" s="8" t="str">
        <f>IFERROR(__xludf.DUMMYFUNCTION("""COMPUTED_VALUE"""),"2022/2023")</f>
        <v>2022/2023</v>
      </c>
      <c r="E517" s="9">
        <f>IFERROR(__xludf.DUMMYFUNCTION("""COMPUTED_VALUE"""),44924.0)</f>
        <v>44924</v>
      </c>
      <c r="F517" s="5" t="str">
        <f>IFERROR(__xludf.DUMMYFUNCTION("""COMPUTED_VALUE"""),"Ganjil")</f>
        <v>Ganjil</v>
      </c>
      <c r="G517" s="5" t="str">
        <f>IFERROR(__xludf.DUMMYFUNCTION("""COMPUTED_VALUE"""),"Akuntansi")</f>
        <v>Akuntansi</v>
      </c>
      <c r="H517" s="10" t="str">
        <f>IFERROR(__xludf.DUMMYFUNCTION("""COMPUTED_VALUE"""),"Mahasiswa")</f>
        <v>Mahasiswa</v>
      </c>
      <c r="I517" s="6" t="str">
        <f>IFERROR(__xludf.DUMMYFUNCTION("""COMPUTED_VALUE"""),"Caroline Ayunita Vivi Pratiwi")</f>
        <v>Caroline Ayunita Vivi Pratiwi</v>
      </c>
      <c r="J517" s="6" t="str">
        <f>IFERROR(__xludf.DUMMYFUNCTION("""COMPUTED_VALUE"""),"Nur Kholis")</f>
        <v>Nur Kholis</v>
      </c>
      <c r="K517" s="6"/>
      <c r="L517" s="6"/>
      <c r="M517" s="6"/>
      <c r="N517" s="6"/>
      <c r="O517" s="6"/>
      <c r="P517" s="10" t="str">
        <f>IFERROR(__xludf.DUMMYFUNCTION("""COMPUTED_VALUE"""),"Caroline Ayunita Vivi Pratiwi,Nur Kholis,,")</f>
        <v>Caroline Ayunita Vivi Pratiwi,Nur Kholis,,</v>
      </c>
      <c r="Q517" s="11" t="str">
        <f>IFERROR(__xludf.DUMMYFUNCTION("""COMPUTED_VALUE"""),"https://bajangjournal.com/index.php/Juremi/article/view/4455")</f>
        <v>https://bajangjournal.com/index.php/Juremi/article/view/4455</v>
      </c>
      <c r="R517" s="6"/>
    </row>
    <row r="518">
      <c r="A518" s="5">
        <f>IFERROR(__xludf.DUMMYFUNCTION("""COMPUTED_VALUE"""),517.0)</f>
        <v>517</v>
      </c>
      <c r="B518" s="6" t="str">
        <f>IFERROR(__xludf.DUMMYFUNCTION("""COMPUTED_VALUE"""),"Analisa Determinasi Kinerja Karyawan Pada Pt Bkk Jateng Di Kabupaten Wonogiri")</f>
        <v>Analisa Determinasi Kinerja Karyawan Pada Pt Bkk Jateng Di Kabupaten Wonogiri</v>
      </c>
      <c r="C518" s="7">
        <f>IFERROR(__xludf.DUMMYFUNCTION("""COMPUTED_VALUE"""),2022.0)</f>
        <v>2022</v>
      </c>
      <c r="D518" s="8" t="str">
        <f>IFERROR(__xludf.DUMMYFUNCTION("""COMPUTED_VALUE"""),"2022/2023")</f>
        <v>2022/2023</v>
      </c>
      <c r="E518" s="9">
        <f>IFERROR(__xludf.DUMMYFUNCTION("""COMPUTED_VALUE"""),44924.0)</f>
        <v>44924</v>
      </c>
      <c r="F518" s="5" t="str">
        <f>IFERROR(__xludf.DUMMYFUNCTION("""COMPUTED_VALUE"""),"Ganjil")</f>
        <v>Ganjil</v>
      </c>
      <c r="G518" s="5" t="str">
        <f>IFERROR(__xludf.DUMMYFUNCTION("""COMPUTED_VALUE"""),"Akuntansi")</f>
        <v>Akuntansi</v>
      </c>
      <c r="H518" s="10" t="str">
        <f>IFERROR(__xludf.DUMMYFUNCTION("""COMPUTED_VALUE"""),"Mahasiswa")</f>
        <v>Mahasiswa</v>
      </c>
      <c r="I518" s="6" t="str">
        <f>IFERROR(__xludf.DUMMYFUNCTION("""COMPUTED_VALUE"""),"Cahya Wulan Febriantari")</f>
        <v>Cahya Wulan Febriantari</v>
      </c>
      <c r="J518" s="6" t="str">
        <f>IFERROR(__xludf.DUMMYFUNCTION("""COMPUTED_VALUE"""),"Arif Nugroho Rachman")</f>
        <v>Arif Nugroho Rachman</v>
      </c>
      <c r="K518" s="6"/>
      <c r="L518" s="6"/>
      <c r="M518" s="6"/>
      <c r="N518" s="6"/>
      <c r="O518" s="6"/>
      <c r="P518" s="10" t="str">
        <f>IFERROR(__xludf.DUMMYFUNCTION("""COMPUTED_VALUE"""),"Cahya Wulan Febriantari,Arif Nugroho Rachman,,")</f>
        <v>Cahya Wulan Febriantari,Arif Nugroho Rachman,,</v>
      </c>
      <c r="Q518" s="11" t="str">
        <f>IFERROR(__xludf.DUMMYFUNCTION("""COMPUTED_VALUE"""),"https://bajangjournal.com/index.php/Juremi/article/view/4449")</f>
        <v>https://bajangjournal.com/index.php/Juremi/article/view/4449</v>
      </c>
      <c r="R518" s="6"/>
    </row>
    <row r="519">
      <c r="A519" s="5">
        <f>IFERROR(__xludf.DUMMYFUNCTION("""COMPUTED_VALUE"""),518.0)</f>
        <v>518</v>
      </c>
      <c r="B519" s="6" t="str">
        <f>IFERROR(__xludf.DUMMYFUNCTION("""COMPUTED_VALUE"""),"Faktor-Faktor Yang Mempengaruhi Kepatuhan Wajib Pajak Umkm Di Wilayah Ngemplak")</f>
        <v>Faktor-Faktor Yang Mempengaruhi Kepatuhan Wajib Pajak Umkm Di Wilayah Ngemplak</v>
      </c>
      <c r="C519" s="7">
        <f>IFERROR(__xludf.DUMMYFUNCTION("""COMPUTED_VALUE"""),2022.0)</f>
        <v>2022</v>
      </c>
      <c r="D519" s="8" t="str">
        <f>IFERROR(__xludf.DUMMYFUNCTION("""COMPUTED_VALUE"""),"2022/2023")</f>
        <v>2022/2023</v>
      </c>
      <c r="E519" s="9">
        <f>IFERROR(__xludf.DUMMYFUNCTION("""COMPUTED_VALUE"""),44924.0)</f>
        <v>44924</v>
      </c>
      <c r="F519" s="5" t="str">
        <f>IFERROR(__xludf.DUMMYFUNCTION("""COMPUTED_VALUE"""),"Ganjil")</f>
        <v>Ganjil</v>
      </c>
      <c r="G519" s="5" t="str">
        <f>IFERROR(__xludf.DUMMYFUNCTION("""COMPUTED_VALUE"""),"Akuntansi")</f>
        <v>Akuntansi</v>
      </c>
      <c r="H519" s="10" t="str">
        <f>IFERROR(__xludf.DUMMYFUNCTION("""COMPUTED_VALUE"""),"Mahasiswa")</f>
        <v>Mahasiswa</v>
      </c>
      <c r="I519" s="6" t="str">
        <f>IFERROR(__xludf.DUMMYFUNCTION("""COMPUTED_VALUE"""),"Ayu Fhatonah")</f>
        <v>Ayu Fhatonah</v>
      </c>
      <c r="J519" s="6" t="str">
        <f>IFERROR(__xludf.DUMMYFUNCTION("""COMPUTED_VALUE"""),"Astuning Saharsini")</f>
        <v>Astuning Saharsini</v>
      </c>
      <c r="K519" s="6"/>
      <c r="L519" s="6"/>
      <c r="M519" s="6"/>
      <c r="N519" s="6"/>
      <c r="O519" s="6"/>
      <c r="P519" s="10" t="str">
        <f>IFERROR(__xludf.DUMMYFUNCTION("""COMPUTED_VALUE"""),"Ayu Fhatonah,Astuning Saharsini,,")</f>
        <v>Ayu Fhatonah,Astuning Saharsini,,</v>
      </c>
      <c r="Q519" s="11" t="str">
        <f>IFERROR(__xludf.DUMMYFUNCTION("""COMPUTED_VALUE"""),"https://bajangjournal.com/index.php/Juremi/article/view/4457")</f>
        <v>https://bajangjournal.com/index.php/Juremi/article/view/4457</v>
      </c>
      <c r="R519" s="6"/>
    </row>
    <row r="520">
      <c r="A520" s="5">
        <f>IFERROR(__xludf.DUMMYFUNCTION("""COMPUTED_VALUE"""),519.0)</f>
        <v>519</v>
      </c>
      <c r="B520" s="6" t="str">
        <f>IFERROR(__xludf.DUMMYFUNCTION("""COMPUTED_VALUE"""),"Kualitas Produk, Citra Merk, dan Persepsi Harga terhadap Keputusan Pembelian Motor Honda Beat")</f>
        <v>Kualitas Produk, Citra Merk, dan Persepsi Harga terhadap Keputusan Pembelian Motor Honda Beat</v>
      </c>
      <c r="C520" s="7">
        <f>IFERROR(__xludf.DUMMYFUNCTION("""COMPUTED_VALUE"""),2022.0)</f>
        <v>2022</v>
      </c>
      <c r="D520" s="8" t="str">
        <f>IFERROR(__xludf.DUMMYFUNCTION("""COMPUTED_VALUE"""),"2022/2023")</f>
        <v>2022/2023</v>
      </c>
      <c r="E520" s="9">
        <f>IFERROR(__xludf.DUMMYFUNCTION("""COMPUTED_VALUE"""),44926.0)</f>
        <v>44926</v>
      </c>
      <c r="F520" s="5" t="str">
        <f>IFERROR(__xludf.DUMMYFUNCTION("""COMPUTED_VALUE"""),"Ganjil")</f>
        <v>Ganjil</v>
      </c>
      <c r="G520" s="5" t="str">
        <f>IFERROR(__xludf.DUMMYFUNCTION("""COMPUTED_VALUE"""),"Manajemen")</f>
        <v>Manajemen</v>
      </c>
      <c r="H520" s="10" t="str">
        <f>IFERROR(__xludf.DUMMYFUNCTION("""COMPUTED_VALUE"""),"Mahasiswa")</f>
        <v>Mahasiswa</v>
      </c>
      <c r="I520" s="6" t="str">
        <f>IFERROR(__xludf.DUMMYFUNCTION("""COMPUTED_VALUE"""),"Nanang Triyono Supardi")</f>
        <v>Nanang Triyono Supardi</v>
      </c>
      <c r="J520" s="6" t="str">
        <f>IFERROR(__xludf.DUMMYFUNCTION("""COMPUTED_VALUE"""),"Ari Susanti")</f>
        <v>Ari Susanti</v>
      </c>
      <c r="K520" s="6"/>
      <c r="L520" s="6"/>
      <c r="M520" s="6"/>
      <c r="N520" s="6"/>
      <c r="O520" s="6"/>
      <c r="P520" s="10" t="str">
        <f>IFERROR(__xludf.DUMMYFUNCTION("""COMPUTED_VALUE"""),"Nanang Triyono Supardi,Ari Susanti,,")</f>
        <v>Nanang Triyono Supardi,Ari Susanti,,</v>
      </c>
      <c r="Q520" s="11" t="str">
        <f>IFERROR(__xludf.DUMMYFUNCTION("""COMPUTED_VALUE"""),"https://jurnal.stiesurakarta.ac.id/index.php/jebdeker/article/view/132")</f>
        <v>https://jurnal.stiesurakarta.ac.id/index.php/jebdeker/article/view/132</v>
      </c>
      <c r="R520" s="6"/>
    </row>
    <row r="521">
      <c r="A521" s="5">
        <f>IFERROR(__xludf.DUMMYFUNCTION("""COMPUTED_VALUE"""),520.0)</f>
        <v>520</v>
      </c>
      <c r="B521" s="6" t="str">
        <f>IFERROR(__xludf.DUMMYFUNCTION("""COMPUTED_VALUE"""),"Pengaruh Literasi Keuangan, Teman Sebaya, Sosialisasi Orang Tua Dan Self Control Terhadap Saving Behavior Siswa Smk Jurusan Akuntansi Di Kabupaten Sukoharjo")</f>
        <v>Pengaruh Literasi Keuangan, Teman Sebaya, Sosialisasi Orang Tua Dan Self Control Terhadap Saving Behavior Siswa Smk Jurusan Akuntansi Di Kabupaten Sukoharjo</v>
      </c>
      <c r="C521" s="7">
        <f>IFERROR(__xludf.DUMMYFUNCTION("""COMPUTED_VALUE"""),2022.0)</f>
        <v>2022</v>
      </c>
      <c r="D521" s="8" t="str">
        <f>IFERROR(__xludf.DUMMYFUNCTION("""COMPUTED_VALUE"""),"2022/2023")</f>
        <v>2022/2023</v>
      </c>
      <c r="E521" s="9">
        <f>IFERROR(__xludf.DUMMYFUNCTION("""COMPUTED_VALUE"""),44926.0)</f>
        <v>44926</v>
      </c>
      <c r="F521" s="5" t="str">
        <f>IFERROR(__xludf.DUMMYFUNCTION("""COMPUTED_VALUE"""),"Ganjil")</f>
        <v>Ganjil</v>
      </c>
      <c r="G521" s="5" t="str">
        <f>IFERROR(__xludf.DUMMYFUNCTION("""COMPUTED_VALUE"""),"Manajemen")</f>
        <v>Manajemen</v>
      </c>
      <c r="H521" s="10" t="str">
        <f>IFERROR(__xludf.DUMMYFUNCTION("""COMPUTED_VALUE"""),"Dosen")</f>
        <v>Dosen</v>
      </c>
      <c r="I521" s="6" t="str">
        <f>IFERROR(__xludf.DUMMYFUNCTION("""COMPUTED_VALUE"""),"Christiawan Hendratmoko")</f>
        <v>Christiawan Hendratmoko</v>
      </c>
      <c r="J521" s="6" t="str">
        <f>IFERROR(__xludf.DUMMYFUNCTION("""COMPUTED_VALUE"""),"Eko Kusuma Wardana")</f>
        <v>Eko Kusuma Wardana</v>
      </c>
      <c r="K521" s="6"/>
      <c r="L521" s="6"/>
      <c r="M521" s="6"/>
      <c r="N521" s="6"/>
      <c r="O521" s="6"/>
      <c r="P521" s="10" t="str">
        <f>IFERROR(__xludf.DUMMYFUNCTION("""COMPUTED_VALUE"""),"Christiawan Hendratmoko,Eko Kusuma Wardana,,")</f>
        <v>Christiawan Hendratmoko,Eko Kusuma Wardana,,</v>
      </c>
      <c r="Q521" s="11" t="str">
        <f>IFERROR(__xludf.DUMMYFUNCTION("""COMPUTED_VALUE"""),"https://jurnal.stiesurakarta.ac.id/index.php/jebdeker/article/view/151")</f>
        <v>https://jurnal.stiesurakarta.ac.id/index.php/jebdeker/article/view/151</v>
      </c>
      <c r="R521" s="6"/>
    </row>
    <row r="522">
      <c r="A522" s="5">
        <f>IFERROR(__xludf.DUMMYFUNCTION("""COMPUTED_VALUE"""),521.0)</f>
        <v>521</v>
      </c>
      <c r="B522" s="6" t="str">
        <f>IFERROR(__xludf.DUMMYFUNCTION("""COMPUTED_VALUE"""),"Perencanaan Keuangan Menunjang UMKM dengan Buku Warung")</f>
        <v>Perencanaan Keuangan Menunjang UMKM dengan Buku Warung</v>
      </c>
      <c r="C522" s="7">
        <f>IFERROR(__xludf.DUMMYFUNCTION("""COMPUTED_VALUE"""),2023.0)</f>
        <v>2023</v>
      </c>
      <c r="D522" s="8" t="str">
        <f>IFERROR(__xludf.DUMMYFUNCTION("""COMPUTED_VALUE"""),"2022/2023")</f>
        <v>2022/2023</v>
      </c>
      <c r="E522" s="9">
        <f>IFERROR(__xludf.DUMMYFUNCTION("""COMPUTED_VALUE"""),44928.0)</f>
        <v>44928</v>
      </c>
      <c r="F522" s="5" t="str">
        <f>IFERROR(__xludf.DUMMYFUNCTION("""COMPUTED_VALUE"""),"Ganjil")</f>
        <v>Ganjil</v>
      </c>
      <c r="G522" s="5" t="str">
        <f>IFERROR(__xludf.DUMMYFUNCTION("""COMPUTED_VALUE"""),"Manajemen")</f>
        <v>Manajemen</v>
      </c>
      <c r="H522" s="10" t="str">
        <f>IFERROR(__xludf.DUMMYFUNCTION("""COMPUTED_VALUE"""),"Dosen")</f>
        <v>Dosen</v>
      </c>
      <c r="I522" s="6" t="str">
        <f>IFERROR(__xludf.DUMMYFUNCTION("""COMPUTED_VALUE"""),"Ari Susanti")</f>
        <v>Ari Susanti</v>
      </c>
      <c r="J522" s="6" t="str">
        <f>IFERROR(__xludf.DUMMYFUNCTION("""COMPUTED_VALUE"""),"Muhammad Luqman Hakim")</f>
        <v>Muhammad Luqman Hakim</v>
      </c>
      <c r="K522" s="6" t="str">
        <f>IFERROR(__xludf.DUMMYFUNCTION("""COMPUTED_VALUE"""),"Abraham Elgiansyah")</f>
        <v>Abraham Elgiansyah</v>
      </c>
      <c r="L522" s="6"/>
      <c r="M522" s="6"/>
      <c r="N522" s="6"/>
      <c r="O522" s="6"/>
      <c r="P522" s="10" t="str">
        <f>IFERROR(__xludf.DUMMYFUNCTION("""COMPUTED_VALUE"""),"Ari Susanti,Muhammad Luqman Hakim,Abraham Elgiansyah,")</f>
        <v>Ari Susanti,Muhammad Luqman Hakim,Abraham Elgiansyah,</v>
      </c>
      <c r="Q522" s="11" t="str">
        <f>IFERROR(__xludf.DUMMYFUNCTION("""COMPUTED_VALUE"""),"https://jurnalpengabdian.stiesurakarta.ac.id/index.php/Dms/article/view/15")</f>
        <v>https://jurnalpengabdian.stiesurakarta.ac.id/index.php/Dms/article/view/15</v>
      </c>
      <c r="R522" s="6"/>
    </row>
    <row r="523">
      <c r="A523" s="5">
        <f>IFERROR(__xludf.DUMMYFUNCTION("""COMPUTED_VALUE"""),522.0)</f>
        <v>522</v>
      </c>
      <c r="B523" s="6" t="str">
        <f>IFERROR(__xludf.DUMMYFUNCTION("""COMPUTED_VALUE"""),"Pelatihan dan Pendampingan Kepatuhan Wajib Pajak Sentra Industri Kecil dan Menengah (IKM) Pasar Mebel Surakarta")</f>
        <v>Pelatihan dan Pendampingan Kepatuhan Wajib Pajak Sentra Industri Kecil dan Menengah (IKM) Pasar Mebel Surakarta</v>
      </c>
      <c r="C523" s="7">
        <f>IFERROR(__xludf.DUMMYFUNCTION("""COMPUTED_VALUE"""),2023.0)</f>
        <v>2023</v>
      </c>
      <c r="D523" s="8" t="str">
        <f>IFERROR(__xludf.DUMMYFUNCTION("""COMPUTED_VALUE"""),"2022/2023")</f>
        <v>2022/2023</v>
      </c>
      <c r="E523" s="9">
        <f>IFERROR(__xludf.DUMMYFUNCTION("""COMPUTED_VALUE"""),44928.0)</f>
        <v>44928</v>
      </c>
      <c r="F523" s="5" t="str">
        <f>IFERROR(__xludf.DUMMYFUNCTION("""COMPUTED_VALUE"""),"Ganjil")</f>
        <v>Ganjil</v>
      </c>
      <c r="G523" s="5" t="str">
        <f>IFERROR(__xludf.DUMMYFUNCTION("""COMPUTED_VALUE"""),"Akuntansi")</f>
        <v>Akuntansi</v>
      </c>
      <c r="H523" s="10" t="str">
        <f>IFERROR(__xludf.DUMMYFUNCTION("""COMPUTED_VALUE"""),"Dosen")</f>
        <v>Dosen</v>
      </c>
      <c r="I523" s="6" t="str">
        <f>IFERROR(__xludf.DUMMYFUNCTION("""COMPUTED_VALUE"""),"Era Trianita Saputra")</f>
        <v>Era Trianita Saputra</v>
      </c>
      <c r="J523" s="6" t="str">
        <f>IFERROR(__xludf.DUMMYFUNCTION("""COMPUTED_VALUE"""),"Ari Susanti")</f>
        <v>Ari Susanti</v>
      </c>
      <c r="K523" s="6" t="str">
        <f>IFERROR(__xludf.DUMMYFUNCTION("""COMPUTED_VALUE"""),"Arif Farida")</f>
        <v>Arif Farida</v>
      </c>
      <c r="L523" s="6" t="str">
        <f>IFERROR(__xludf.DUMMYFUNCTION("""COMPUTED_VALUE"""),"Beti Apriyanti")</f>
        <v>Beti Apriyanti</v>
      </c>
      <c r="M523" s="6"/>
      <c r="N523" s="6"/>
      <c r="O523" s="6"/>
      <c r="P523" s="10" t="str">
        <f>IFERROR(__xludf.DUMMYFUNCTION("""COMPUTED_VALUE"""),"Era Trianita Saputra,Ari Susanti,Arif Farida,Beti Apriyanti")</f>
        <v>Era Trianita Saputra,Ari Susanti,Arif Farida,Beti Apriyanti</v>
      </c>
      <c r="Q523" s="11" t="str">
        <f>IFERROR(__xludf.DUMMYFUNCTION("""COMPUTED_VALUE"""),"https://jurnalpengabdian.stiesurakarta.ac.id/index.php/Dms/article/view/21")</f>
        <v>https://jurnalpengabdian.stiesurakarta.ac.id/index.php/Dms/article/view/21</v>
      </c>
      <c r="R523" s="6"/>
    </row>
    <row r="524">
      <c r="A524" s="5">
        <f>IFERROR(__xludf.DUMMYFUNCTION("""COMPUTED_VALUE"""),523.0)</f>
        <v>523</v>
      </c>
      <c r="B524" s="6" t="str">
        <f>IFERROR(__xludf.DUMMYFUNCTION("""COMPUTED_VALUE"""),"Pengelolaan Bisnis Non Riba” Pada Istiqomah Paguyuban Pedagang Dan Petani Desa Blumbang Kecamatan Tawangmangu Karanganyar, Jawa Tengah")</f>
        <v>Pengelolaan Bisnis Non Riba” Pada Istiqomah Paguyuban Pedagang Dan Petani Desa Blumbang Kecamatan Tawangmangu Karanganyar, Jawa Tengah</v>
      </c>
      <c r="C524" s="7">
        <f>IFERROR(__xludf.DUMMYFUNCTION("""COMPUTED_VALUE"""),2023.0)</f>
        <v>2023</v>
      </c>
      <c r="D524" s="8" t="str">
        <f>IFERROR(__xludf.DUMMYFUNCTION("""COMPUTED_VALUE"""),"2022/2023")</f>
        <v>2022/2023</v>
      </c>
      <c r="E524" s="9">
        <f>IFERROR(__xludf.DUMMYFUNCTION("""COMPUTED_VALUE"""),44928.0)</f>
        <v>44928</v>
      </c>
      <c r="F524" s="5" t="str">
        <f>IFERROR(__xludf.DUMMYFUNCTION("""COMPUTED_VALUE"""),"Ganjil")</f>
        <v>Ganjil</v>
      </c>
      <c r="G524" s="5" t="str">
        <f>IFERROR(__xludf.DUMMYFUNCTION("""COMPUTED_VALUE"""),"Manajemen")</f>
        <v>Manajemen</v>
      </c>
      <c r="H524" s="10" t="str">
        <f>IFERROR(__xludf.DUMMYFUNCTION("""COMPUTED_VALUE"""),"Dosen")</f>
        <v>Dosen</v>
      </c>
      <c r="I524" s="6" t="str">
        <f>IFERROR(__xludf.DUMMYFUNCTION("""COMPUTED_VALUE"""),"Andri Nurtantiono")</f>
        <v>Andri Nurtantiono</v>
      </c>
      <c r="J524" s="6" t="str">
        <f>IFERROR(__xludf.DUMMYFUNCTION("""COMPUTED_VALUE"""),"Heny Kurnianingsih")</f>
        <v>Heny Kurnianingsih</v>
      </c>
      <c r="K524" s="6" t="str">
        <f>IFERROR(__xludf.DUMMYFUNCTION("""COMPUTED_VALUE"""),"Christiawan Hendratmoko")</f>
        <v>Christiawan Hendratmoko</v>
      </c>
      <c r="L524" s="6" t="str">
        <f>IFERROR(__xludf.DUMMYFUNCTION("""COMPUTED_VALUE"""),"Pardi")</f>
        <v>Pardi</v>
      </c>
      <c r="M524" s="6" t="str">
        <f>IFERROR(__xludf.DUMMYFUNCTION("""COMPUTED_VALUE"""),"Arif Nugroho Rachman")</f>
        <v>Arif Nugroho Rachman</v>
      </c>
      <c r="N524" s="6" t="str">
        <f>IFERROR(__xludf.DUMMYFUNCTION("""COMPUTED_VALUE"""),"Putri Maisara")</f>
        <v>Putri Maisara</v>
      </c>
      <c r="O524" s="6"/>
      <c r="P524" s="10" t="str">
        <f>IFERROR(__xludf.DUMMYFUNCTION("""COMPUTED_VALUE"""),"Andri Nurtantiono,Heny Kurnianingsih,Christiawan Hendratmoko,Pardi")</f>
        <v>Andri Nurtantiono,Heny Kurnianingsih,Christiawan Hendratmoko,Pardi</v>
      </c>
      <c r="Q524" s="11" t="str">
        <f>IFERROR(__xludf.DUMMYFUNCTION("""COMPUTED_VALUE"""),"https://jurnalpengabdian.stiesurakarta.ac.id/index.php/Dms/article/view/12")</f>
        <v>https://jurnalpengabdian.stiesurakarta.ac.id/index.php/Dms/article/view/12</v>
      </c>
      <c r="R524" s="6"/>
    </row>
    <row r="525">
      <c r="A525" s="5">
        <f>IFERROR(__xludf.DUMMYFUNCTION("""COMPUTED_VALUE"""),524.0)</f>
        <v>524</v>
      </c>
      <c r="B525" s="6" t="str">
        <f>IFERROR(__xludf.DUMMYFUNCTION("""COMPUTED_VALUE"""),"Pengelolaan bisnis non-riba pada paguyuban pedagang dan petani ""istiqomah"" Desa Blumbang, Kecamatan Tawangmangu, Karanganyar, Jawa Tengah")</f>
        <v>Pengelolaan bisnis non-riba pada paguyuban pedagang dan petani "istiqomah" Desa Blumbang, Kecamatan Tawangmangu, Karanganyar, Jawa Tengah</v>
      </c>
      <c r="C525" s="7">
        <f>IFERROR(__xludf.DUMMYFUNCTION("""COMPUTED_VALUE"""),2023.0)</f>
        <v>2023</v>
      </c>
      <c r="D525" s="8" t="str">
        <f>IFERROR(__xludf.DUMMYFUNCTION("""COMPUTED_VALUE"""),"2022/2023")</f>
        <v>2022/2023</v>
      </c>
      <c r="E525" s="9">
        <f>IFERROR(__xludf.DUMMYFUNCTION("""COMPUTED_VALUE"""),44928.0)</f>
        <v>44928</v>
      </c>
      <c r="F525" s="5" t="str">
        <f>IFERROR(__xludf.DUMMYFUNCTION("""COMPUTED_VALUE"""),"Ganjil")</f>
        <v>Ganjil</v>
      </c>
      <c r="G525" s="5" t="str">
        <f>IFERROR(__xludf.DUMMYFUNCTION("""COMPUTED_VALUE"""),"Manajemen")</f>
        <v>Manajemen</v>
      </c>
      <c r="H525" s="10" t="str">
        <f>IFERROR(__xludf.DUMMYFUNCTION("""COMPUTED_VALUE"""),"Dosen")</f>
        <v>Dosen</v>
      </c>
      <c r="I525" s="6" t="str">
        <f>IFERROR(__xludf.DUMMYFUNCTION("""COMPUTED_VALUE"""),"Andri Nurtantiono")</f>
        <v>Andri Nurtantiono</v>
      </c>
      <c r="J525" s="6" t="str">
        <f>IFERROR(__xludf.DUMMYFUNCTION("""COMPUTED_VALUE"""),"Heny Kurnianingsih")</f>
        <v>Heny Kurnianingsih</v>
      </c>
      <c r="K525" s="6" t="str">
        <f>IFERROR(__xludf.DUMMYFUNCTION("""COMPUTED_VALUE"""),"Christiawan Hendratmoko")</f>
        <v>Christiawan Hendratmoko</v>
      </c>
      <c r="L525" s="6" t="str">
        <f>IFERROR(__xludf.DUMMYFUNCTION("""COMPUTED_VALUE"""),"Pardi")</f>
        <v>Pardi</v>
      </c>
      <c r="M525" s="6" t="str">
        <f>IFERROR(__xludf.DUMMYFUNCTION("""COMPUTED_VALUE"""),"Arif Nugroho Rachman")</f>
        <v>Arif Nugroho Rachman</v>
      </c>
      <c r="N525" s="6" t="str">
        <f>IFERROR(__xludf.DUMMYFUNCTION("""COMPUTED_VALUE"""),"Putri Maisara")</f>
        <v>Putri Maisara</v>
      </c>
      <c r="O525" s="6"/>
      <c r="P525" s="10" t="str">
        <f>IFERROR(__xludf.DUMMYFUNCTION("""COMPUTED_VALUE"""),"Andri Nurtantiono,Heny Kurnianingsih,Christiawan Hendratmoko,Pardi")</f>
        <v>Andri Nurtantiono,Heny Kurnianingsih,Christiawan Hendratmoko,Pardi</v>
      </c>
      <c r="Q525" s="11" t="str">
        <f>IFERROR(__xludf.DUMMYFUNCTION("""COMPUTED_VALUE"""),"https://jurnalpengabdian.stiesurakarta.ac.id/index.php/Dms/article/view/12")</f>
        <v>https://jurnalpengabdian.stiesurakarta.ac.id/index.php/Dms/article/view/12</v>
      </c>
      <c r="R525" s="6"/>
    </row>
    <row r="526">
      <c r="A526" s="5">
        <f>IFERROR(__xludf.DUMMYFUNCTION("""COMPUTED_VALUE"""),525.0)</f>
        <v>525</v>
      </c>
      <c r="B526" s="6" t="str">
        <f>IFERROR(__xludf.DUMMYFUNCTION("""COMPUTED_VALUE"""),"Faktor-Faktor Yang Mempengaruhi Laba Bersih Pada Perusahaan Farmasi Yang Terdaftar Di Bei")</f>
        <v>Faktor-Faktor Yang Mempengaruhi Laba Bersih Pada Perusahaan Farmasi Yang Terdaftar Di Bei</v>
      </c>
      <c r="C526" s="7">
        <f>IFERROR(__xludf.DUMMYFUNCTION("""COMPUTED_VALUE"""),2023.0)</f>
        <v>2023</v>
      </c>
      <c r="D526" s="8" t="str">
        <f>IFERROR(__xludf.DUMMYFUNCTION("""COMPUTED_VALUE"""),"2022/2023")</f>
        <v>2022/2023</v>
      </c>
      <c r="E526" s="9">
        <f>IFERROR(__xludf.DUMMYFUNCTION("""COMPUTED_VALUE"""),44933.0)</f>
        <v>44933</v>
      </c>
      <c r="F526" s="5" t="str">
        <f>IFERROR(__xludf.DUMMYFUNCTION("""COMPUTED_VALUE"""),"Ganjil")</f>
        <v>Ganjil</v>
      </c>
      <c r="G526" s="5" t="str">
        <f>IFERROR(__xludf.DUMMYFUNCTION("""COMPUTED_VALUE"""),"Akuntansi")</f>
        <v>Akuntansi</v>
      </c>
      <c r="H526" s="10" t="str">
        <f>IFERROR(__xludf.DUMMYFUNCTION("""COMPUTED_VALUE"""),"Mahasiswa")</f>
        <v>Mahasiswa</v>
      </c>
      <c r="I526" s="6" t="str">
        <f>IFERROR(__xludf.DUMMYFUNCTION("""COMPUTED_VALUE"""),"Fandi Nur Mandela")</f>
        <v>Fandi Nur Mandela</v>
      </c>
      <c r="J526" s="6" t="str">
        <f>IFERROR(__xludf.DUMMYFUNCTION("""COMPUTED_VALUE"""),"Arif Nugroho Rachman")</f>
        <v>Arif Nugroho Rachman</v>
      </c>
      <c r="K526" s="6"/>
      <c r="L526" s="6"/>
      <c r="M526" s="6"/>
      <c r="N526" s="6"/>
      <c r="O526" s="6"/>
      <c r="P526" s="10" t="str">
        <f>IFERROR(__xludf.DUMMYFUNCTION("""COMPUTED_VALUE"""),"Fandi Nur Mandela,Arif Nugroho Rachman,,")</f>
        <v>Fandi Nur Mandela,Arif Nugroho Rachman,,</v>
      </c>
      <c r="Q526" s="11" t="str">
        <f>IFERROR(__xludf.DUMMYFUNCTION("""COMPUTED_VALUE"""),"https://bajangjournal.com/index.php/JEMBA/article/view/4442")</f>
        <v>https://bajangjournal.com/index.php/JEMBA/article/view/4442</v>
      </c>
      <c r="R526" s="6"/>
    </row>
    <row r="527">
      <c r="A527" s="5">
        <f>IFERROR(__xludf.DUMMYFUNCTION("""COMPUTED_VALUE"""),526.0)</f>
        <v>526</v>
      </c>
      <c r="B527" s="6" t="str">
        <f>IFERROR(__xludf.DUMMYFUNCTION("""COMPUTED_VALUE"""),"Analisis Determinasi Konservatisme Akuntansi Perusahaan Pertambangan Terdaftar Bursa Efek Indonesia Tahun 2017–2021")</f>
        <v>Analisis Determinasi Konservatisme Akuntansi Perusahaan Pertambangan Terdaftar Bursa Efek Indonesia Tahun 2017–2021</v>
      </c>
      <c r="C527" s="7">
        <f>IFERROR(__xludf.DUMMYFUNCTION("""COMPUTED_VALUE"""),2023.0)</f>
        <v>2023</v>
      </c>
      <c r="D527" s="8" t="str">
        <f>IFERROR(__xludf.DUMMYFUNCTION("""COMPUTED_VALUE"""),"2022/2023")</f>
        <v>2022/2023</v>
      </c>
      <c r="E527" s="9">
        <f>IFERROR(__xludf.DUMMYFUNCTION("""COMPUTED_VALUE"""),44955.0)</f>
        <v>44955</v>
      </c>
      <c r="F527" s="5" t="str">
        <f>IFERROR(__xludf.DUMMYFUNCTION("""COMPUTED_VALUE"""),"Ganjil")</f>
        <v>Ganjil</v>
      </c>
      <c r="G527" s="5" t="str">
        <f>IFERROR(__xludf.DUMMYFUNCTION("""COMPUTED_VALUE"""),"Akuntansi")</f>
        <v>Akuntansi</v>
      </c>
      <c r="H527" s="10" t="str">
        <f>IFERROR(__xludf.DUMMYFUNCTION("""COMPUTED_VALUE"""),"Dosen")</f>
        <v>Dosen</v>
      </c>
      <c r="I527" s="6" t="str">
        <f>IFERROR(__xludf.DUMMYFUNCTION("""COMPUTED_VALUE"""),"Eko Triyanto")</f>
        <v>Eko Triyanto</v>
      </c>
      <c r="J527" s="6" t="str">
        <f>IFERROR(__xludf.DUMMYFUNCTION("""COMPUTED_VALUE"""),"Arif Nugroho Rachman")</f>
        <v>Arif Nugroho Rachman</v>
      </c>
      <c r="K527" s="6"/>
      <c r="L527" s="6"/>
      <c r="M527" s="6"/>
      <c r="N527" s="6"/>
      <c r="O527" s="6"/>
      <c r="P527" s="10" t="str">
        <f>IFERROR(__xludf.DUMMYFUNCTION("""COMPUTED_VALUE"""),"Eko Triyanto,Arif Nugroho Rachman,,")</f>
        <v>Eko Triyanto,Arif Nugroho Rachman,,</v>
      </c>
      <c r="Q527" s="11" t="str">
        <f>IFERROR(__xludf.DUMMYFUNCTION("""COMPUTED_VALUE"""),"https://jurnal.stie-aas.ac.id/index.php/jap/article/view/7609")</f>
        <v>https://jurnal.stie-aas.ac.id/index.php/jap/article/view/7609</v>
      </c>
      <c r="R527" s="6"/>
    </row>
    <row r="528">
      <c r="A528" s="5">
        <f>IFERROR(__xludf.DUMMYFUNCTION("""COMPUTED_VALUE"""),527.0)</f>
        <v>527</v>
      </c>
      <c r="B528" s="6" t="str">
        <f>IFERROR(__xludf.DUMMYFUNCTION("""COMPUTED_VALUE"""),"The Effect Of Ease Of Use, Public Opinion, And Twitter Account @Convomfs On Generation Z Behavior Change In Indonesia")</f>
        <v>The Effect Of Ease Of Use, Public Opinion, And Twitter Account @Convomfs On Generation Z Behavior Change In Indonesia</v>
      </c>
      <c r="C528" s="7">
        <f>IFERROR(__xludf.DUMMYFUNCTION("""COMPUTED_VALUE"""),2023.0)</f>
        <v>2023</v>
      </c>
      <c r="D528" s="8" t="str">
        <f>IFERROR(__xludf.DUMMYFUNCTION("""COMPUTED_VALUE"""),"2022/2023")</f>
        <v>2022/2023</v>
      </c>
      <c r="E528" s="9">
        <f>IFERROR(__xludf.DUMMYFUNCTION("""COMPUTED_VALUE"""),44955.0)</f>
        <v>44955</v>
      </c>
      <c r="F528" s="5" t="str">
        <f>IFERROR(__xludf.DUMMYFUNCTION("""COMPUTED_VALUE"""),"Ganjil")</f>
        <v>Ganjil</v>
      </c>
      <c r="G528" s="5" t="str">
        <f>IFERROR(__xludf.DUMMYFUNCTION("""COMPUTED_VALUE"""),"Manajemen")</f>
        <v>Manajemen</v>
      </c>
      <c r="H528" s="10" t="str">
        <f>IFERROR(__xludf.DUMMYFUNCTION("""COMPUTED_VALUE"""),"Mahasiswa")</f>
        <v>Mahasiswa</v>
      </c>
      <c r="I528" s="6" t="str">
        <f>IFERROR(__xludf.DUMMYFUNCTION("""COMPUTED_VALUE"""),"Rika Purnama Sari")</f>
        <v>Rika Purnama Sari</v>
      </c>
      <c r="J528" s="6" t="str">
        <f>IFERROR(__xludf.DUMMYFUNCTION("""COMPUTED_VALUE"""),"Putri Maisara")</f>
        <v>Putri Maisara</v>
      </c>
      <c r="K528" s="6"/>
      <c r="L528" s="6"/>
      <c r="M528" s="6"/>
      <c r="N528" s="6"/>
      <c r="O528" s="6"/>
      <c r="P528" s="10" t="str">
        <f>IFERROR(__xludf.DUMMYFUNCTION("""COMPUTED_VALUE"""),"Rika Purnama Sari,Putri Maisara,,")</f>
        <v>Rika Purnama Sari,Putri Maisara,,</v>
      </c>
      <c r="Q528" s="11" t="str">
        <f>IFERROR(__xludf.DUMMYFUNCTION("""COMPUTED_VALUE"""),"https://www.educonferences.org/index.php/edusocial/libraryFiles/downloadPublic/28")</f>
        <v>https://www.educonferences.org/index.php/edusocial/libraryFiles/downloadPublic/28</v>
      </c>
      <c r="R528" s="6"/>
    </row>
    <row r="529">
      <c r="A529" s="5">
        <f>IFERROR(__xludf.DUMMYFUNCTION("""COMPUTED_VALUE"""),528.0)</f>
        <v>528</v>
      </c>
      <c r="B529" s="6" t="str">
        <f>IFERROR(__xludf.DUMMYFUNCTION("""COMPUTED_VALUE"""),"Analisis Laporan Keuangan Dalam Mengukur Kinerja Keuangan Pada Umkm Batik Melati Wijaya")</f>
        <v>Analisis Laporan Keuangan Dalam Mengukur Kinerja Keuangan Pada Umkm Batik Melati Wijaya</v>
      </c>
      <c r="C529" s="7">
        <f>IFERROR(__xludf.DUMMYFUNCTION("""COMPUTED_VALUE"""),2023.0)</f>
        <v>2023</v>
      </c>
      <c r="D529" s="8" t="str">
        <f>IFERROR(__xludf.DUMMYFUNCTION("""COMPUTED_VALUE"""),"2022/2023")</f>
        <v>2022/2023</v>
      </c>
      <c r="E529" s="9">
        <f>IFERROR(__xludf.DUMMYFUNCTION("""COMPUTED_VALUE"""),44956.0)</f>
        <v>44956</v>
      </c>
      <c r="F529" s="5" t="str">
        <f>IFERROR(__xludf.DUMMYFUNCTION("""COMPUTED_VALUE"""),"Ganjil")</f>
        <v>Ganjil</v>
      </c>
      <c r="G529" s="5" t="str">
        <f>IFERROR(__xludf.DUMMYFUNCTION("""COMPUTED_VALUE"""),"Akuntansi")</f>
        <v>Akuntansi</v>
      </c>
      <c r="H529" s="10" t="str">
        <f>IFERROR(__xludf.DUMMYFUNCTION("""COMPUTED_VALUE"""),"Dosen")</f>
        <v>Dosen</v>
      </c>
      <c r="I529" s="6" t="str">
        <f>IFERROR(__xludf.DUMMYFUNCTION("""COMPUTED_VALUE"""),"Arif Farida")</f>
        <v>Arif Farida</v>
      </c>
      <c r="J529" s="6" t="str">
        <f>IFERROR(__xludf.DUMMYFUNCTION("""COMPUTED_VALUE"""),"Dewi Ika Octavia")</f>
        <v>Dewi Ika Octavia</v>
      </c>
      <c r="K529" s="6" t="str">
        <f>IFERROR(__xludf.DUMMYFUNCTION("""COMPUTED_VALUE"""),"Lisna Okvionita")</f>
        <v>Lisna Okvionita</v>
      </c>
      <c r="L529" s="6" t="str">
        <f>IFERROR(__xludf.DUMMYFUNCTION("""COMPUTED_VALUE"""),"Divandra Putri Etaprisastia")</f>
        <v>Divandra Putri Etaprisastia</v>
      </c>
      <c r="M529" s="6"/>
      <c r="N529" s="6"/>
      <c r="O529" s="6"/>
      <c r="P529" s="10" t="str">
        <f>IFERROR(__xludf.DUMMYFUNCTION("""COMPUTED_VALUE"""),"Arif Farida,Dewi Ika Octavia,Lisna Okvionita,Divandra Putri Etaprisastia")</f>
        <v>Arif Farida,Dewi Ika Octavia,Lisna Okvionita,Divandra Putri Etaprisastia</v>
      </c>
      <c r="Q529" s="11" t="str">
        <f>IFERROR(__xludf.DUMMYFUNCTION("""COMPUTED_VALUE"""),"https://docs.google.com/document/d/10LnRQp7qZ0i3QyNQm8pC8eC7GW6Ew9ow/edit?usp=drive_link&amp;ouid=113741177560435037779&amp;rtpof=true&amp;sd=true")</f>
        <v>https://docs.google.com/document/d/10LnRQp7qZ0i3QyNQm8pC8eC7GW6Ew9ow/edit?usp=drive_link&amp;ouid=113741177560435037779&amp;rtpof=true&amp;sd=true</v>
      </c>
      <c r="R529" s="6"/>
    </row>
    <row r="530">
      <c r="A530" s="5">
        <f>IFERROR(__xludf.DUMMYFUNCTION("""COMPUTED_VALUE"""),529.0)</f>
        <v>529</v>
      </c>
      <c r="B530" s="6" t="str">
        <f>IFERROR(__xludf.DUMMYFUNCTION("""COMPUTED_VALUE"""),"Pengaruh Good Corporate Governance dan Ukuran Perusahaan Terhadap Kinerja Keuangan Perbankan pada Masa Pandemi Covid-19")</f>
        <v>Pengaruh Good Corporate Governance dan Ukuran Perusahaan Terhadap Kinerja Keuangan Perbankan pada Masa Pandemi Covid-19</v>
      </c>
      <c r="C530" s="7">
        <f>IFERROR(__xludf.DUMMYFUNCTION("""COMPUTED_VALUE"""),2023.0)</f>
        <v>2023</v>
      </c>
      <c r="D530" s="8" t="str">
        <f>IFERROR(__xludf.DUMMYFUNCTION("""COMPUTED_VALUE"""),"2022/2023")</f>
        <v>2022/2023</v>
      </c>
      <c r="E530" s="9">
        <f>IFERROR(__xludf.DUMMYFUNCTION("""COMPUTED_VALUE"""),44957.0)</f>
        <v>44957</v>
      </c>
      <c r="F530" s="5" t="str">
        <f>IFERROR(__xludf.DUMMYFUNCTION("""COMPUTED_VALUE"""),"Ganjil")</f>
        <v>Ganjil</v>
      </c>
      <c r="G530" s="5" t="str">
        <f>IFERROR(__xludf.DUMMYFUNCTION("""COMPUTED_VALUE"""),"Akuntansi")</f>
        <v>Akuntansi</v>
      </c>
      <c r="H530" s="10" t="str">
        <f>IFERROR(__xludf.DUMMYFUNCTION("""COMPUTED_VALUE"""),"Mahasiswa")</f>
        <v>Mahasiswa</v>
      </c>
      <c r="I530" s="6" t="str">
        <f>IFERROR(__xludf.DUMMYFUNCTION("""COMPUTED_VALUE"""),"Nadia Intan Rahmawati")</f>
        <v>Nadia Intan Rahmawati</v>
      </c>
      <c r="J530" s="6" t="str">
        <f>IFERROR(__xludf.DUMMYFUNCTION("""COMPUTED_VALUE"""),"Rosita")</f>
        <v>Rosita</v>
      </c>
      <c r="K530" s="6"/>
      <c r="L530" s="6"/>
      <c r="M530" s="6"/>
      <c r="N530" s="6"/>
      <c r="O530" s="6"/>
      <c r="P530" s="10" t="str">
        <f>IFERROR(__xludf.DUMMYFUNCTION("""COMPUTED_VALUE"""),"Nadia Intan Rahmawati,Rosita,,")</f>
        <v>Nadia Intan Rahmawati,Rosita,,</v>
      </c>
      <c r="Q530" s="11" t="str">
        <f>IFERROR(__xludf.DUMMYFUNCTION("""COMPUTED_VALUE"""),"https://garuda.kemdikbud.go.id/documents/detail/3285865")</f>
        <v>https://garuda.kemdikbud.go.id/documents/detail/3285865</v>
      </c>
      <c r="R530" s="6"/>
    </row>
    <row r="531">
      <c r="A531" s="5">
        <f>IFERROR(__xludf.DUMMYFUNCTION("""COMPUTED_VALUE"""),530.0)</f>
        <v>530</v>
      </c>
      <c r="B531" s="6" t="str">
        <f>IFERROR(__xludf.DUMMYFUNCTION("""COMPUTED_VALUE"""),"Pengaruh Pajak Daerah, Retribusi, Dan Hasil Pengelolaan Kekayaan Yang Dipisahkan Terhadap Pendapatan Asli Daerah Kabupaten/Kota Di Provinsi Jawa Tengah (Studi Pada Kabupaten/Kota Di Provinsi Jawa Tengah)")</f>
        <v>Pengaruh Pajak Daerah, Retribusi, Dan Hasil Pengelolaan Kekayaan Yang Dipisahkan Terhadap Pendapatan Asli Daerah Kabupaten/Kota Di Provinsi Jawa Tengah (Studi Pada Kabupaten/Kota Di Provinsi Jawa Tengah)</v>
      </c>
      <c r="C531" s="7">
        <f>IFERROR(__xludf.DUMMYFUNCTION("""COMPUTED_VALUE"""),2023.0)</f>
        <v>2023</v>
      </c>
      <c r="D531" s="8" t="str">
        <f>IFERROR(__xludf.DUMMYFUNCTION("""COMPUTED_VALUE"""),"2022/2023")</f>
        <v>2022/2023</v>
      </c>
      <c r="E531" s="9">
        <f>IFERROR(__xludf.DUMMYFUNCTION("""COMPUTED_VALUE"""),44967.0)</f>
        <v>44967</v>
      </c>
      <c r="F531" s="5" t="str">
        <f>IFERROR(__xludf.DUMMYFUNCTION("""COMPUTED_VALUE"""),"Ganjil")</f>
        <v>Ganjil</v>
      </c>
      <c r="G531" s="5" t="str">
        <f>IFERROR(__xludf.DUMMYFUNCTION("""COMPUTED_VALUE"""),"Akuntansi")</f>
        <v>Akuntansi</v>
      </c>
      <c r="H531" s="10" t="str">
        <f>IFERROR(__xludf.DUMMYFUNCTION("""COMPUTED_VALUE"""),"Dosen")</f>
        <v>Dosen</v>
      </c>
      <c r="I531" s="6" t="str">
        <f>IFERROR(__xludf.DUMMYFUNCTION("""COMPUTED_VALUE"""),"Amy Wulandari")</f>
        <v>Amy Wulandari</v>
      </c>
      <c r="J531" s="6" t="str">
        <f>IFERROR(__xludf.DUMMYFUNCTION("""COMPUTED_VALUE"""),"Arif Nugroho Rachman")</f>
        <v>Arif Nugroho Rachman</v>
      </c>
      <c r="K531" s="6" t="str">
        <f>IFERROR(__xludf.DUMMYFUNCTION("""COMPUTED_VALUE"""),"Wahyu Widyaningrum")</f>
        <v>Wahyu Widyaningrum</v>
      </c>
      <c r="L531" s="6"/>
      <c r="M531" s="6"/>
      <c r="N531" s="6"/>
      <c r="O531" s="6"/>
      <c r="P531" s="10" t="str">
        <f>IFERROR(__xludf.DUMMYFUNCTION("""COMPUTED_VALUE"""),"Amy Wulandari,Arif Nugroho Rachman,Wahyu Widyaningrum,")</f>
        <v>Amy Wulandari,Arif Nugroho Rachman,Wahyu Widyaningrum,</v>
      </c>
      <c r="Q531" s="11" t="str">
        <f>IFERROR(__xludf.DUMMYFUNCTION("""COMPUTED_VALUE"""),"https://jurnal.unw.ac.id/index.php/jibaku/article/view/2153")</f>
        <v>https://jurnal.unw.ac.id/index.php/jibaku/article/view/2153</v>
      </c>
      <c r="R531" s="6"/>
    </row>
    <row r="532">
      <c r="A532" s="5">
        <f>IFERROR(__xludf.DUMMYFUNCTION("""COMPUTED_VALUE"""),531.0)</f>
        <v>531</v>
      </c>
      <c r="B532" s="6" t="str">
        <f>IFERROR(__xludf.DUMMYFUNCTION("""COMPUTED_VALUE"""),"The Influence of Local Taxes, retributions, and Results of Separate Wealth Management on Regency/City Regional Revenue in Central Java Province (Studies in Regencies/Cities in Central Java Province)")</f>
        <v>The Influence of Local Taxes, retributions, and Results of Separate Wealth Management on Regency/City Regional Revenue in Central Java Province (Studies in Regencies/Cities in Central Java Province)</v>
      </c>
      <c r="C532" s="7">
        <f>IFERROR(__xludf.DUMMYFUNCTION("""COMPUTED_VALUE"""),2023.0)</f>
        <v>2023</v>
      </c>
      <c r="D532" s="8" t="str">
        <f>IFERROR(__xludf.DUMMYFUNCTION("""COMPUTED_VALUE"""),"2022/2023")</f>
        <v>2022/2023</v>
      </c>
      <c r="E532" s="9">
        <f>IFERROR(__xludf.DUMMYFUNCTION("""COMPUTED_VALUE"""),44967.0)</f>
        <v>44967</v>
      </c>
      <c r="F532" s="5" t="str">
        <f>IFERROR(__xludf.DUMMYFUNCTION("""COMPUTED_VALUE"""),"Ganjil")</f>
        <v>Ganjil</v>
      </c>
      <c r="G532" s="5" t="str">
        <f>IFERROR(__xludf.DUMMYFUNCTION("""COMPUTED_VALUE"""),"Akuntansi")</f>
        <v>Akuntansi</v>
      </c>
      <c r="H532" s="10" t="str">
        <f>IFERROR(__xludf.DUMMYFUNCTION("""COMPUTED_VALUE"""),"Dosen")</f>
        <v>Dosen</v>
      </c>
      <c r="I532" s="6" t="str">
        <f>IFERROR(__xludf.DUMMYFUNCTION("""COMPUTED_VALUE"""),"Amy Wulandari")</f>
        <v>Amy Wulandari</v>
      </c>
      <c r="J532" s="6" t="str">
        <f>IFERROR(__xludf.DUMMYFUNCTION("""COMPUTED_VALUE"""),"Arif Nugroho Rachman")</f>
        <v>Arif Nugroho Rachman</v>
      </c>
      <c r="K532" s="6" t="str">
        <f>IFERROR(__xludf.DUMMYFUNCTION("""COMPUTED_VALUE"""),"Wahyu Widyaningrum")</f>
        <v>Wahyu Widyaningrum</v>
      </c>
      <c r="L532" s="6"/>
      <c r="M532" s="6"/>
      <c r="N532" s="6"/>
      <c r="O532" s="6"/>
      <c r="P532" s="10" t="str">
        <f>IFERROR(__xludf.DUMMYFUNCTION("""COMPUTED_VALUE"""),"Amy Wulandari,Arif Nugroho Rachman,Wahyu Widyaningrum,")</f>
        <v>Amy Wulandari,Arif Nugroho Rachman,Wahyu Widyaningrum,</v>
      </c>
      <c r="Q532" s="11" t="str">
        <f>IFERROR(__xludf.DUMMYFUNCTION("""COMPUTED_VALUE"""),"https://jurnal.unw.ac.id/index.php/jibaku/article/view/2153")</f>
        <v>https://jurnal.unw.ac.id/index.php/jibaku/article/view/2153</v>
      </c>
      <c r="R532" s="6"/>
    </row>
    <row r="533">
      <c r="A533" s="5">
        <f>IFERROR(__xludf.DUMMYFUNCTION("""COMPUTED_VALUE"""),532.0)</f>
        <v>532</v>
      </c>
      <c r="B533" s="6" t="str">
        <f>IFERROR(__xludf.DUMMYFUNCTION("""COMPUTED_VALUE"""),"Analisis Fakta Yang Mempengaruhi Keputusan Pembelian Es Cincau “Pak Mul” Di Pasar Nangka Surakarta")</f>
        <v>Analisis Fakta Yang Mempengaruhi Keputusan Pembelian Es Cincau “Pak Mul” Di Pasar Nangka Surakarta</v>
      </c>
      <c r="C533" s="7">
        <f>IFERROR(__xludf.DUMMYFUNCTION("""COMPUTED_VALUE"""),2023.0)</f>
        <v>2023</v>
      </c>
      <c r="D533" s="8" t="str">
        <f>IFERROR(__xludf.DUMMYFUNCTION("""COMPUTED_VALUE"""),"2022/2023")</f>
        <v>2022/2023</v>
      </c>
      <c r="E533" s="9">
        <f>IFERROR(__xludf.DUMMYFUNCTION("""COMPUTED_VALUE"""),44984.0)</f>
        <v>44984</v>
      </c>
      <c r="F533" s="5" t="str">
        <f>IFERROR(__xludf.DUMMYFUNCTION("""COMPUTED_VALUE"""),"Genap")</f>
        <v>Genap</v>
      </c>
      <c r="G533" s="5" t="str">
        <f>IFERROR(__xludf.DUMMYFUNCTION("""COMPUTED_VALUE"""),"Manajemen")</f>
        <v>Manajemen</v>
      </c>
      <c r="H533" s="10" t="str">
        <f>IFERROR(__xludf.DUMMYFUNCTION("""COMPUTED_VALUE"""),"Mahasiswa")</f>
        <v>Mahasiswa</v>
      </c>
      <c r="I533" s="6" t="str">
        <f>IFERROR(__xludf.DUMMYFUNCTION("""COMPUTED_VALUE"""),"Salsabila Putri Alia Shinta")</f>
        <v>Salsabila Putri Alia Shinta</v>
      </c>
      <c r="J533" s="6" t="str">
        <f>IFERROR(__xludf.DUMMYFUNCTION("""COMPUTED_VALUE"""),"Atik Lusia")</f>
        <v>Atik Lusia</v>
      </c>
      <c r="K533" s="6"/>
      <c r="L533" s="6"/>
      <c r="M533" s="6"/>
      <c r="N533" s="6"/>
      <c r="O533" s="6"/>
      <c r="P533" s="10" t="str">
        <f>IFERROR(__xludf.DUMMYFUNCTION("""COMPUTED_VALUE"""),"Salsabila Putri Alia Shinta,Atik Lusia,,")</f>
        <v>Salsabila Putri Alia Shinta,Atik Lusia,,</v>
      </c>
      <c r="Q533" s="11" t="str">
        <f>IFERROR(__xludf.DUMMYFUNCTION("""COMPUTED_VALUE"""),"https://journalkeberlanjutan.com/index.php/ahjpm/article/view/629")</f>
        <v>https://journalkeberlanjutan.com/index.php/ahjpm/article/view/629</v>
      </c>
      <c r="R533" s="6"/>
    </row>
    <row r="534">
      <c r="A534" s="5">
        <f>IFERROR(__xludf.DUMMYFUNCTION("""COMPUTED_VALUE"""),533.0)</f>
        <v>533</v>
      </c>
      <c r="B534" s="6" t="str">
        <f>IFERROR(__xludf.DUMMYFUNCTION("""COMPUTED_VALUE"""),"PENGARUH FINANCIAL LITERACY, FINANCIAL ATITUDE, DAN SELF CONTROL TERHADAP IMPULSE BUYING PENGGUNA SHOPEE PAYLATER DI SOLORAYA")</f>
        <v>PENGARUH FINANCIAL LITERACY, FINANCIAL ATITUDE, DAN SELF CONTROL TERHADAP IMPULSE BUYING PENGGUNA SHOPEE PAYLATER DI SOLORAYA</v>
      </c>
      <c r="C534" s="7">
        <f>IFERROR(__xludf.DUMMYFUNCTION("""COMPUTED_VALUE"""),2023.0)</f>
        <v>2023</v>
      </c>
      <c r="D534" s="8" t="str">
        <f>IFERROR(__xludf.DUMMYFUNCTION("""COMPUTED_VALUE"""),"2022/2023")</f>
        <v>2022/2023</v>
      </c>
      <c r="E534" s="9">
        <f>IFERROR(__xludf.DUMMYFUNCTION("""COMPUTED_VALUE"""),44996.0)</f>
        <v>44996</v>
      </c>
      <c r="F534" s="5" t="str">
        <f>IFERROR(__xludf.DUMMYFUNCTION("""COMPUTED_VALUE"""),"Genap")</f>
        <v>Genap</v>
      </c>
      <c r="G534" s="5" t="str">
        <f>IFERROR(__xludf.DUMMYFUNCTION("""COMPUTED_VALUE"""),"Manajemen")</f>
        <v>Manajemen</v>
      </c>
      <c r="H534" s="10" t="str">
        <f>IFERROR(__xludf.DUMMYFUNCTION("""COMPUTED_VALUE"""),"Mahasiswa")</f>
        <v>Mahasiswa</v>
      </c>
      <c r="I534" s="6" t="str">
        <f>IFERROR(__xludf.DUMMYFUNCTION("""COMPUTED_VALUE"""),"Rika Andini")</f>
        <v>Rika Andini</v>
      </c>
      <c r="J534" s="6" t="str">
        <f>IFERROR(__xludf.DUMMYFUNCTION("""COMPUTED_VALUE"""),"Ari Susanti")</f>
        <v>Ari Susanti</v>
      </c>
      <c r="K534" s="6"/>
      <c r="L534" s="6"/>
      <c r="M534" s="6"/>
      <c r="N534" s="6"/>
      <c r="O534" s="6"/>
      <c r="P534" s="10" t="str">
        <f>IFERROR(__xludf.DUMMYFUNCTION("""COMPUTED_VALUE"""),"Rika Andini,Ari Susanti,,")</f>
        <v>Rika Andini,Ari Susanti,,</v>
      </c>
      <c r="Q534" s="11" t="str">
        <f>IFERROR(__xludf.DUMMYFUNCTION("""COMPUTED_VALUE"""),"https://drive.google.com/file/d/1QlVB-5fEEIQobxoY1apnVSorlxtgR7rA/view?usp=sharing")</f>
        <v>https://drive.google.com/file/d/1QlVB-5fEEIQobxoY1apnVSorlxtgR7rA/view?usp=sharing</v>
      </c>
      <c r="R534" s="6"/>
    </row>
    <row r="535">
      <c r="A535" s="5">
        <f>IFERROR(__xludf.DUMMYFUNCTION("""COMPUTED_VALUE"""),534.0)</f>
        <v>534</v>
      </c>
      <c r="B535" s="6" t="str">
        <f>IFERROR(__xludf.DUMMYFUNCTION("""COMPUTED_VALUE"""),"Transformasi Guru Di Era Digital")</f>
        <v>Transformasi Guru Di Era Digital</v>
      </c>
      <c r="C535" s="7">
        <f>IFERROR(__xludf.DUMMYFUNCTION("""COMPUTED_VALUE"""),2023.0)</f>
        <v>2023</v>
      </c>
      <c r="D535" s="8" t="str">
        <f>IFERROR(__xludf.DUMMYFUNCTION("""COMPUTED_VALUE"""),"2022/2023")</f>
        <v>2022/2023</v>
      </c>
      <c r="E535" s="9">
        <f>IFERROR(__xludf.DUMMYFUNCTION("""COMPUTED_VALUE"""),44996.0)</f>
        <v>44996</v>
      </c>
      <c r="F535" s="5" t="str">
        <f>IFERROR(__xludf.DUMMYFUNCTION("""COMPUTED_VALUE"""),"Genap")</f>
        <v>Genap</v>
      </c>
      <c r="G535" s="5" t="str">
        <f>IFERROR(__xludf.DUMMYFUNCTION("""COMPUTED_VALUE"""),"Manajemen")</f>
        <v>Manajemen</v>
      </c>
      <c r="H535" s="10" t="str">
        <f>IFERROR(__xludf.DUMMYFUNCTION("""COMPUTED_VALUE"""),"Dosen")</f>
        <v>Dosen</v>
      </c>
      <c r="I535" s="6" t="str">
        <f>IFERROR(__xludf.DUMMYFUNCTION("""COMPUTED_VALUE"""),"Budi Istiyanto")</f>
        <v>Budi Istiyanto</v>
      </c>
      <c r="J535" s="6"/>
      <c r="K535" s="6"/>
      <c r="L535" s="6"/>
      <c r="M535" s="6"/>
      <c r="N535" s="6"/>
      <c r="O535" s="6"/>
      <c r="P535" s="10" t="str">
        <f>IFERROR(__xludf.DUMMYFUNCTION("""COMPUTED_VALUE"""),"Budi Istiyanto,,,")</f>
        <v>Budi Istiyanto,,,</v>
      </c>
      <c r="Q535" s="11" t="str">
        <f>IFERROR(__xludf.DUMMYFUNCTION("""COMPUTED_VALUE"""),"https://docs.google.com/document/d/1K1At99u_BYzEbRlHqxWjfujZ_Pvuymul/edit?usp=drive_link&amp;ouid=113741177560435037779&amp;rtpof=true&amp;sd=true")</f>
        <v>https://docs.google.com/document/d/1K1At99u_BYzEbRlHqxWjfujZ_Pvuymul/edit?usp=drive_link&amp;ouid=113741177560435037779&amp;rtpof=true&amp;sd=true</v>
      </c>
      <c r="R535" s="6"/>
    </row>
    <row r="536">
      <c r="A536" s="5">
        <f>IFERROR(__xludf.DUMMYFUNCTION("""COMPUTED_VALUE"""),535.0)</f>
        <v>535</v>
      </c>
      <c r="B536" s="6" t="str">
        <f>IFERROR(__xludf.DUMMYFUNCTION("""COMPUTED_VALUE"""),"Pengaruh Promosi, Kualitas Pelayanan, dan Kemudahan Penggunaan Aplikasi Terhadap Keputusan Pembelian Gofood di Kota Solo")</f>
        <v>Pengaruh Promosi, Kualitas Pelayanan, dan Kemudahan Penggunaan Aplikasi Terhadap Keputusan Pembelian Gofood di Kota Solo</v>
      </c>
      <c r="C536" s="7">
        <f>IFERROR(__xludf.DUMMYFUNCTION("""COMPUTED_VALUE"""),2023.0)</f>
        <v>2023</v>
      </c>
      <c r="D536" s="8" t="str">
        <f>IFERROR(__xludf.DUMMYFUNCTION("""COMPUTED_VALUE"""),"2022/2023")</f>
        <v>2022/2023</v>
      </c>
      <c r="E536" s="9">
        <f>IFERROR(__xludf.DUMMYFUNCTION("""COMPUTED_VALUE"""),45012.0)</f>
        <v>45012</v>
      </c>
      <c r="F536" s="5" t="str">
        <f>IFERROR(__xludf.DUMMYFUNCTION("""COMPUTED_VALUE"""),"Genap")</f>
        <v>Genap</v>
      </c>
      <c r="G536" s="5" t="str">
        <f>IFERROR(__xludf.DUMMYFUNCTION("""COMPUTED_VALUE"""),"Manajemen")</f>
        <v>Manajemen</v>
      </c>
      <c r="H536" s="10" t="str">
        <f>IFERROR(__xludf.DUMMYFUNCTION("""COMPUTED_VALUE"""),"Mahasiswa")</f>
        <v>Mahasiswa</v>
      </c>
      <c r="I536" s="6" t="str">
        <f>IFERROR(__xludf.DUMMYFUNCTION("""COMPUTED_VALUE"""),"Alvareza Kartika Putri")</f>
        <v>Alvareza Kartika Putri</v>
      </c>
      <c r="J536" s="6" t="str">
        <f>IFERROR(__xludf.DUMMYFUNCTION("""COMPUTED_VALUE"""),"Andri Nurtantiono")</f>
        <v>Andri Nurtantiono</v>
      </c>
      <c r="K536" s="6"/>
      <c r="L536" s="6"/>
      <c r="M536" s="6"/>
      <c r="N536" s="6"/>
      <c r="O536" s="6"/>
      <c r="P536" s="10" t="str">
        <f>IFERROR(__xludf.DUMMYFUNCTION("""COMPUTED_VALUE"""),"Alvareza Kartika Putri,Andri Nurtantiono,,")</f>
        <v>Alvareza Kartika Putri,Andri Nurtantiono,,</v>
      </c>
      <c r="Q536" s="11" t="str">
        <f>IFERROR(__xludf.DUMMYFUNCTION("""COMPUTED_VALUE"""),"https://journal.umpo.ac.id/index.php/ASSET/article/view/7677/3301")</f>
        <v>https://journal.umpo.ac.id/index.php/ASSET/article/view/7677/3301</v>
      </c>
      <c r="R536" s="6"/>
    </row>
    <row r="537">
      <c r="A537" s="5">
        <f>IFERROR(__xludf.DUMMYFUNCTION("""COMPUTED_VALUE"""),536.0)</f>
        <v>536</v>
      </c>
      <c r="B537" s="6" t="str">
        <f>IFERROR(__xludf.DUMMYFUNCTION("""COMPUTED_VALUE"""),"Pengaruh Gaya Hidup, Personal Selling, Dan Kepuasan Pelanggan Terhadap Pembelian Ulang Produk Maybelline")</f>
        <v>Pengaruh Gaya Hidup, Personal Selling, Dan Kepuasan Pelanggan Terhadap Pembelian Ulang Produk Maybelline</v>
      </c>
      <c r="C537" s="7">
        <f>IFERROR(__xludf.DUMMYFUNCTION("""COMPUTED_VALUE"""),2023.0)</f>
        <v>2023</v>
      </c>
      <c r="D537" s="8" t="str">
        <f>IFERROR(__xludf.DUMMYFUNCTION("""COMPUTED_VALUE"""),"2022/2023")</f>
        <v>2022/2023</v>
      </c>
      <c r="E537" s="9">
        <f>IFERROR(__xludf.DUMMYFUNCTION("""COMPUTED_VALUE"""),45015.0)</f>
        <v>45015</v>
      </c>
      <c r="F537" s="5" t="str">
        <f>IFERROR(__xludf.DUMMYFUNCTION("""COMPUTED_VALUE"""),"Genap")</f>
        <v>Genap</v>
      </c>
      <c r="G537" s="5" t="str">
        <f>IFERROR(__xludf.DUMMYFUNCTION("""COMPUTED_VALUE"""),"Manajemen")</f>
        <v>Manajemen</v>
      </c>
      <c r="H537" s="10" t="str">
        <f>IFERROR(__xludf.DUMMYFUNCTION("""COMPUTED_VALUE"""),"Mahasiswa")</f>
        <v>Mahasiswa</v>
      </c>
      <c r="I537" s="6" t="str">
        <f>IFERROR(__xludf.DUMMYFUNCTION("""COMPUTED_VALUE"""),"Amalia Kusuma Wardani")</f>
        <v>Amalia Kusuma Wardani</v>
      </c>
      <c r="J537" s="6" t="str">
        <f>IFERROR(__xludf.DUMMYFUNCTION("""COMPUTED_VALUE"""),"Heny Kurnianingsih")</f>
        <v>Heny Kurnianingsih</v>
      </c>
      <c r="K537" s="6"/>
      <c r="L537" s="6"/>
      <c r="M537" s="6"/>
      <c r="N537" s="6"/>
      <c r="O537" s="6"/>
      <c r="P537" s="10" t="str">
        <f>IFERROR(__xludf.DUMMYFUNCTION("""COMPUTED_VALUE"""),"Amalia Kusuma Wardani,Heny Kurnianingsih,,")</f>
        <v>Amalia Kusuma Wardani,Heny Kurnianingsih,,</v>
      </c>
      <c r="Q537" s="11" t="str">
        <f>IFERROR(__xludf.DUMMYFUNCTION("""COMPUTED_VALUE"""),"http://ejournal.urindo.ac.id/index.php/administrasimanajemen/article/view/2907")</f>
        <v>http://ejournal.urindo.ac.id/index.php/administrasimanajemen/article/view/2907</v>
      </c>
      <c r="R537" s="6"/>
    </row>
    <row r="538">
      <c r="A538" s="5">
        <f>IFERROR(__xludf.DUMMYFUNCTION("""COMPUTED_VALUE"""),537.0)</f>
        <v>537</v>
      </c>
      <c r="B538" s="6" t="str">
        <f>IFERROR(__xludf.DUMMYFUNCTION("""COMPUTED_VALUE"""),"Faktor Yang Mempengaruhi Kepatuhan Membayar Pbb Di Surakarta")</f>
        <v>Faktor Yang Mempengaruhi Kepatuhan Membayar Pbb Di Surakarta</v>
      </c>
      <c r="C538" s="7">
        <f>IFERROR(__xludf.DUMMYFUNCTION("""COMPUTED_VALUE"""),2023.0)</f>
        <v>2023</v>
      </c>
      <c r="D538" s="8" t="str">
        <f>IFERROR(__xludf.DUMMYFUNCTION("""COMPUTED_VALUE"""),"2022/2023")</f>
        <v>2022/2023</v>
      </c>
      <c r="E538" s="9">
        <f>IFERROR(__xludf.DUMMYFUNCTION("""COMPUTED_VALUE"""),45015.0)</f>
        <v>45015</v>
      </c>
      <c r="F538" s="5" t="str">
        <f>IFERROR(__xludf.DUMMYFUNCTION("""COMPUTED_VALUE"""),"Genap")</f>
        <v>Genap</v>
      </c>
      <c r="G538" s="5" t="str">
        <f>IFERROR(__xludf.DUMMYFUNCTION("""COMPUTED_VALUE"""),"Akuntansi")</f>
        <v>Akuntansi</v>
      </c>
      <c r="H538" s="10" t="str">
        <f>IFERROR(__xludf.DUMMYFUNCTION("""COMPUTED_VALUE"""),"Mahasiswa")</f>
        <v>Mahasiswa</v>
      </c>
      <c r="I538" s="6" t="str">
        <f>IFERROR(__xludf.DUMMYFUNCTION("""COMPUTED_VALUE"""),"Wiwin Susilawati")</f>
        <v>Wiwin Susilawati</v>
      </c>
      <c r="J538" s="6" t="str">
        <f>IFERROR(__xludf.DUMMYFUNCTION("""COMPUTED_VALUE"""),"Ismunawan")</f>
        <v>Ismunawan</v>
      </c>
      <c r="K538" s="6"/>
      <c r="L538" s="6"/>
      <c r="M538" s="6"/>
      <c r="N538" s="6"/>
      <c r="O538" s="6"/>
      <c r="P538" s="10" t="str">
        <f>IFERROR(__xludf.DUMMYFUNCTION("""COMPUTED_VALUE"""),"Wiwin Susilawati,Ismunawan,,")</f>
        <v>Wiwin Susilawati,Ismunawan,,</v>
      </c>
      <c r="Q538" s="11" t="str">
        <f>IFERROR(__xludf.DUMMYFUNCTION("""COMPUTED_VALUE"""),"https://publish.ojs-indonesia.com/index.php/SINOMIKA/article/view/901")</f>
        <v>https://publish.ojs-indonesia.com/index.php/SINOMIKA/article/view/901</v>
      </c>
      <c r="R538" s="6"/>
    </row>
    <row r="539">
      <c r="A539" s="5">
        <f>IFERROR(__xludf.DUMMYFUNCTION("""COMPUTED_VALUE"""),538.0)</f>
        <v>538</v>
      </c>
      <c r="B539" s="6" t="str">
        <f>IFERROR(__xludf.DUMMYFUNCTION("""COMPUTED_VALUE"""),"Pengaruh Fanatisme, Gaya Hidup Hedonis, Dan Persepsi Konsumen Terhadap Keputusan Pembelian Pada Produk Iphone Di Indonesia")</f>
        <v>Pengaruh Fanatisme, Gaya Hidup Hedonis, Dan Persepsi Konsumen Terhadap Keputusan Pembelian Pada Produk Iphone Di Indonesia</v>
      </c>
      <c r="C539" s="7">
        <f>IFERROR(__xludf.DUMMYFUNCTION("""COMPUTED_VALUE"""),2023.0)</f>
        <v>2023</v>
      </c>
      <c r="D539" s="8" t="str">
        <f>IFERROR(__xludf.DUMMYFUNCTION("""COMPUTED_VALUE"""),"2022/2023")</f>
        <v>2022/2023</v>
      </c>
      <c r="E539" s="9">
        <f>IFERROR(__xludf.DUMMYFUNCTION("""COMPUTED_VALUE"""),45016.0)</f>
        <v>45016</v>
      </c>
      <c r="F539" s="5" t="str">
        <f>IFERROR(__xludf.DUMMYFUNCTION("""COMPUTED_VALUE"""),"Genap")</f>
        <v>Genap</v>
      </c>
      <c r="G539" s="5" t="str">
        <f>IFERROR(__xludf.DUMMYFUNCTION("""COMPUTED_VALUE"""),"Manajemen")</f>
        <v>Manajemen</v>
      </c>
      <c r="H539" s="10" t="str">
        <f>IFERROR(__xludf.DUMMYFUNCTION("""COMPUTED_VALUE"""),"Mahasiswa")</f>
        <v>Mahasiswa</v>
      </c>
      <c r="I539" s="6" t="str">
        <f>IFERROR(__xludf.DUMMYFUNCTION("""COMPUTED_VALUE"""),"Hesti Ayu Lestari")</f>
        <v>Hesti Ayu Lestari</v>
      </c>
      <c r="J539" s="6" t="str">
        <f>IFERROR(__xludf.DUMMYFUNCTION("""COMPUTED_VALUE"""),"Ginanjar Rahmawan")</f>
        <v>Ginanjar Rahmawan</v>
      </c>
      <c r="K539" s="6"/>
      <c r="L539" s="6"/>
      <c r="M539" s="6"/>
      <c r="N539" s="6"/>
      <c r="O539" s="6"/>
      <c r="P539" s="10" t="str">
        <f>IFERROR(__xludf.DUMMYFUNCTION("""COMPUTED_VALUE"""),"Hesti Ayu Lestari,Ginanjar Rahmawan,,")</f>
        <v>Hesti Ayu Lestari,Ginanjar Rahmawan,,</v>
      </c>
      <c r="Q539" s="11" t="str">
        <f>IFERROR(__xludf.DUMMYFUNCTION("""COMPUTED_VALUE"""),"https://journal.unesa.ac.id/index.php/jim/article/view/20913")</f>
        <v>https://journal.unesa.ac.id/index.php/jim/article/view/20913</v>
      </c>
      <c r="R539" s="6"/>
    </row>
    <row r="540">
      <c r="A540" s="5">
        <f>IFERROR(__xludf.DUMMYFUNCTION("""COMPUTED_VALUE"""),539.0)</f>
        <v>539</v>
      </c>
      <c r="B540" s="6" t="str">
        <f>IFERROR(__xludf.DUMMYFUNCTION("""COMPUTED_VALUE"""),"Analisis Pengaruh Citra Merek, Kepuasan Merek Dan Kepercayaan Merek Terhadap Loyalitas Merek J&amp;T Express")</f>
        <v>Analisis Pengaruh Citra Merek, Kepuasan Merek Dan Kepercayaan Merek Terhadap Loyalitas Merek J&amp;T Express</v>
      </c>
      <c r="C540" s="7">
        <f>IFERROR(__xludf.DUMMYFUNCTION("""COMPUTED_VALUE"""),2023.0)</f>
        <v>2023</v>
      </c>
      <c r="D540" s="8" t="str">
        <f>IFERROR(__xludf.DUMMYFUNCTION("""COMPUTED_VALUE"""),"2022/2023")</f>
        <v>2022/2023</v>
      </c>
      <c r="E540" s="9">
        <f>IFERROR(__xludf.DUMMYFUNCTION("""COMPUTED_VALUE"""),45017.0)</f>
        <v>45017</v>
      </c>
      <c r="F540" s="5" t="str">
        <f>IFERROR(__xludf.DUMMYFUNCTION("""COMPUTED_VALUE"""),"Genap")</f>
        <v>Genap</v>
      </c>
      <c r="G540" s="5" t="str">
        <f>IFERROR(__xludf.DUMMYFUNCTION("""COMPUTED_VALUE"""),"Akuntansi")</f>
        <v>Akuntansi</v>
      </c>
      <c r="H540" s="10" t="str">
        <f>IFERROR(__xludf.DUMMYFUNCTION("""COMPUTED_VALUE"""),"Mahasiswa")</f>
        <v>Mahasiswa</v>
      </c>
      <c r="I540" s="6" t="str">
        <f>IFERROR(__xludf.DUMMYFUNCTION("""COMPUTED_VALUE"""),"Krisna Deva Pratama Sudibyo")</f>
        <v>Krisna Deva Pratama Sudibyo</v>
      </c>
      <c r="J540" s="6" t="str">
        <f>IFERROR(__xludf.DUMMYFUNCTION("""COMPUTED_VALUE"""),"Tri Ratna Pamikatsih")</f>
        <v>Tri Ratna Pamikatsih</v>
      </c>
      <c r="K540" s="6"/>
      <c r="L540" s="6"/>
      <c r="M540" s="6"/>
      <c r="N540" s="6"/>
      <c r="O540" s="6"/>
      <c r="P540" s="10" t="str">
        <f>IFERROR(__xludf.DUMMYFUNCTION("""COMPUTED_VALUE"""),"Krisna Deva Pratama Sudibyo,Tri Ratna Pamikatsih,,")</f>
        <v>Krisna Deva Pratama Sudibyo,Tri Ratna Pamikatsih,,</v>
      </c>
      <c r="Q540" s="11" t="str">
        <f>IFERROR(__xludf.DUMMYFUNCTION("""COMPUTED_VALUE"""),"https://ojs.unimal.ac.id/jmi/article/view/10838/0")</f>
        <v>https://ojs.unimal.ac.id/jmi/article/view/10838/0</v>
      </c>
      <c r="R540" s="6"/>
    </row>
    <row r="541">
      <c r="A541" s="5">
        <f>IFERROR(__xludf.DUMMYFUNCTION("""COMPUTED_VALUE"""),540.0)</f>
        <v>540</v>
      </c>
      <c r="B541" s="6" t="str">
        <f>IFERROR(__xludf.DUMMYFUNCTION("""COMPUTED_VALUE"""),"Perbedaan Faktor Pengaruh Minat Kuliah Di Stie Surakarta (Studi Kasus Pada Sma Al-Azhar Syifa Budi Solo)")</f>
        <v>Perbedaan Faktor Pengaruh Minat Kuliah Di Stie Surakarta (Studi Kasus Pada Sma Al-Azhar Syifa Budi Solo)</v>
      </c>
      <c r="C541" s="7">
        <f>IFERROR(__xludf.DUMMYFUNCTION("""COMPUTED_VALUE"""),2023.0)</f>
        <v>2023</v>
      </c>
      <c r="D541" s="8" t="str">
        <f>IFERROR(__xludf.DUMMYFUNCTION("""COMPUTED_VALUE"""),"2022/2023")</f>
        <v>2022/2023</v>
      </c>
      <c r="E541" s="9">
        <f>IFERROR(__xludf.DUMMYFUNCTION("""COMPUTED_VALUE"""),45017.0)</f>
        <v>45017</v>
      </c>
      <c r="F541" s="5" t="str">
        <f>IFERROR(__xludf.DUMMYFUNCTION("""COMPUTED_VALUE"""),"Genap")</f>
        <v>Genap</v>
      </c>
      <c r="G541" s="5" t="str">
        <f>IFERROR(__xludf.DUMMYFUNCTION("""COMPUTED_VALUE"""),"Manajemen")</f>
        <v>Manajemen</v>
      </c>
      <c r="H541" s="10" t="str">
        <f>IFERROR(__xludf.DUMMYFUNCTION("""COMPUTED_VALUE"""),"Mahasiswa")</f>
        <v>Mahasiswa</v>
      </c>
      <c r="I541" s="6" t="str">
        <f>IFERROR(__xludf.DUMMYFUNCTION("""COMPUTED_VALUE"""),"Ira Widyowati")</f>
        <v>Ira Widyowati</v>
      </c>
      <c r="J541" s="6" t="str">
        <f>IFERROR(__xludf.DUMMYFUNCTION("""COMPUTED_VALUE"""),"Atik Lusia")</f>
        <v>Atik Lusia</v>
      </c>
      <c r="K541" s="6"/>
      <c r="L541" s="6"/>
      <c r="M541" s="6"/>
      <c r="N541" s="6"/>
      <c r="O541" s="6"/>
      <c r="P541" s="10" t="str">
        <f>IFERROR(__xludf.DUMMYFUNCTION("""COMPUTED_VALUE"""),"Ira Widyowati,Atik Lusia,,")</f>
        <v>Ira Widyowati,Atik Lusia,,</v>
      </c>
      <c r="Q541" s="11" t="str">
        <f>IFERROR(__xludf.DUMMYFUNCTION("""COMPUTED_VALUE"""),"https://ojs.unimal.ac.id/jmi/article/view/10802/0")</f>
        <v>https://ojs.unimal.ac.id/jmi/article/view/10802/0</v>
      </c>
      <c r="R541" s="6"/>
    </row>
    <row r="542">
      <c r="A542" s="5">
        <f>IFERROR(__xludf.DUMMYFUNCTION("""COMPUTED_VALUE"""),541.0)</f>
        <v>541</v>
      </c>
      <c r="B542" s="6" t="str">
        <f>IFERROR(__xludf.DUMMYFUNCTION("""COMPUTED_VALUE"""),"Mekanisme Monitoring, Bonding, dan Ukuran Perusahaan Pada Kinerja Perusahaan")</f>
        <v>Mekanisme Monitoring, Bonding, dan Ukuran Perusahaan Pada Kinerja Perusahaan</v>
      </c>
      <c r="C542" s="7">
        <f>IFERROR(__xludf.DUMMYFUNCTION("""COMPUTED_VALUE"""),2023.0)</f>
        <v>2023</v>
      </c>
      <c r="D542" s="8" t="str">
        <f>IFERROR(__xludf.DUMMYFUNCTION("""COMPUTED_VALUE"""),"2022/2023")</f>
        <v>2022/2023</v>
      </c>
      <c r="E542" s="9">
        <f>IFERROR(__xludf.DUMMYFUNCTION("""COMPUTED_VALUE"""),45020.0)</f>
        <v>45020</v>
      </c>
      <c r="F542" s="5" t="str">
        <f>IFERROR(__xludf.DUMMYFUNCTION("""COMPUTED_VALUE"""),"Genap")</f>
        <v>Genap</v>
      </c>
      <c r="G542" s="5" t="str">
        <f>IFERROR(__xludf.DUMMYFUNCTION("""COMPUTED_VALUE"""),"Akuntansi")</f>
        <v>Akuntansi</v>
      </c>
      <c r="H542" s="10" t="str">
        <f>IFERROR(__xludf.DUMMYFUNCTION("""COMPUTED_VALUE"""),"Mahasiswa")</f>
        <v>Mahasiswa</v>
      </c>
      <c r="I542" s="6" t="str">
        <f>IFERROR(__xludf.DUMMYFUNCTION("""COMPUTED_VALUE"""),"Riskin Hidayat")</f>
        <v>Riskin Hidayat</v>
      </c>
      <c r="J542" s="6" t="str">
        <f>IFERROR(__xludf.DUMMYFUNCTION("""COMPUTED_VALUE"""),"Rosita")</f>
        <v>Rosita</v>
      </c>
      <c r="K542" s="6" t="str">
        <f>IFERROR(__xludf.DUMMYFUNCTION("""COMPUTED_VALUE"""),"Heri Susanto")</f>
        <v>Heri Susanto</v>
      </c>
      <c r="L542" s="6" t="str">
        <f>IFERROR(__xludf.DUMMYFUNCTION("""COMPUTED_VALUE"""),"Ida Ayu Kade")</f>
        <v>Ida Ayu Kade</v>
      </c>
      <c r="M542" s="6"/>
      <c r="N542" s="6"/>
      <c r="O542" s="6"/>
      <c r="P542" s="10" t="str">
        <f>IFERROR(__xludf.DUMMYFUNCTION("""COMPUTED_VALUE"""),"Riskin Hidayat,Rosita,Heri Susanto,Ida Ayu Kade")</f>
        <v>Riskin Hidayat,Rosita,Heri Susanto,Ida Ayu Kade</v>
      </c>
      <c r="Q542" s="11" t="str">
        <f>IFERROR(__xludf.DUMMYFUNCTION("""COMPUTED_VALUE"""),"http://ejurnal.setiabudi.ac.id/ojs/index.php/jbk/article/view/2081")</f>
        <v>http://ejurnal.setiabudi.ac.id/ojs/index.php/jbk/article/view/2081</v>
      </c>
      <c r="R542" s="6"/>
    </row>
    <row r="543">
      <c r="A543" s="5">
        <f>IFERROR(__xludf.DUMMYFUNCTION("""COMPUTED_VALUE"""),542.0)</f>
        <v>542</v>
      </c>
      <c r="B543" s="6" t="str">
        <f>IFERROR(__xludf.DUMMYFUNCTION("""COMPUTED_VALUE"""),"FAKTOR - FAKTOR YANG MEMPENGARUHI KEPUTUSAN PEMBELIAN PRODUK DI SEIRA SKINCARE")</f>
        <v>FAKTOR - FAKTOR YANG MEMPENGARUHI KEPUTUSAN PEMBELIAN PRODUK DI SEIRA SKINCARE</v>
      </c>
      <c r="C543" s="7">
        <f>IFERROR(__xludf.DUMMYFUNCTION("""COMPUTED_VALUE"""),2023.0)</f>
        <v>2023</v>
      </c>
      <c r="D543" s="8" t="str">
        <f>IFERROR(__xludf.DUMMYFUNCTION("""COMPUTED_VALUE"""),"2022/2023")</f>
        <v>2022/2023</v>
      </c>
      <c r="E543" s="9">
        <f>IFERROR(__xludf.DUMMYFUNCTION("""COMPUTED_VALUE"""),45025.0)</f>
        <v>45025</v>
      </c>
      <c r="F543" s="5" t="str">
        <f>IFERROR(__xludf.DUMMYFUNCTION("""COMPUTED_VALUE"""),"Genap")</f>
        <v>Genap</v>
      </c>
      <c r="G543" s="5" t="str">
        <f>IFERROR(__xludf.DUMMYFUNCTION("""COMPUTED_VALUE"""),"Manajemen")</f>
        <v>Manajemen</v>
      </c>
      <c r="H543" s="10" t="str">
        <f>IFERROR(__xludf.DUMMYFUNCTION("""COMPUTED_VALUE"""),"Mahasiswa")</f>
        <v>Mahasiswa</v>
      </c>
      <c r="I543" s="6" t="str">
        <f>IFERROR(__xludf.DUMMYFUNCTION("""COMPUTED_VALUE"""),"Rifka Anisa Firli")</f>
        <v>Rifka Anisa Firli</v>
      </c>
      <c r="J543" s="6" t="str">
        <f>IFERROR(__xludf.DUMMYFUNCTION("""COMPUTED_VALUE"""),"Atik Lusia")</f>
        <v>Atik Lusia</v>
      </c>
      <c r="K543" s="6"/>
      <c r="L543" s="6"/>
      <c r="M543" s="6"/>
      <c r="N543" s="6"/>
      <c r="O543" s="6"/>
      <c r="P543" s="10" t="str">
        <f>IFERROR(__xludf.DUMMYFUNCTION("""COMPUTED_VALUE"""),"Rifka Anisa Firli,Atik Lusia,,")</f>
        <v>Rifka Anisa Firli,Atik Lusia,,</v>
      </c>
      <c r="Q543" s="11" t="str">
        <f>IFERROR(__xludf.DUMMYFUNCTION("""COMPUTED_VALUE"""),"https://ejournal.nusantaraglobal.ac.id/index.php/sentri/article/view/750")</f>
        <v>https://ejournal.nusantaraglobal.ac.id/index.php/sentri/article/view/750</v>
      </c>
      <c r="R543" s="6"/>
    </row>
    <row r="544">
      <c r="A544" s="5">
        <f>IFERROR(__xludf.DUMMYFUNCTION("""COMPUTED_VALUE"""),543.0)</f>
        <v>543</v>
      </c>
      <c r="B544" s="6" t="str">
        <f>IFERROR(__xludf.DUMMYFUNCTION("""COMPUTED_VALUE"""),"Faktor-Faktor Yang Mempengaruhi Keputusan Pembelian Produk Di Seira Skincare")</f>
        <v>Faktor-Faktor Yang Mempengaruhi Keputusan Pembelian Produk Di Seira Skincare</v>
      </c>
      <c r="C544" s="7">
        <f>IFERROR(__xludf.DUMMYFUNCTION("""COMPUTED_VALUE"""),2023.0)</f>
        <v>2023</v>
      </c>
      <c r="D544" s="8" t="str">
        <f>IFERROR(__xludf.DUMMYFUNCTION("""COMPUTED_VALUE"""),"2022/2023")</f>
        <v>2022/2023</v>
      </c>
      <c r="E544" s="9">
        <f>IFERROR(__xludf.DUMMYFUNCTION("""COMPUTED_VALUE"""),45025.0)</f>
        <v>45025</v>
      </c>
      <c r="F544" s="5" t="str">
        <f>IFERROR(__xludf.DUMMYFUNCTION("""COMPUTED_VALUE"""),"Genap")</f>
        <v>Genap</v>
      </c>
      <c r="G544" s="5" t="str">
        <f>IFERROR(__xludf.DUMMYFUNCTION("""COMPUTED_VALUE"""),"Manajemen")</f>
        <v>Manajemen</v>
      </c>
      <c r="H544" s="10" t="str">
        <f>IFERROR(__xludf.DUMMYFUNCTION("""COMPUTED_VALUE"""),"Mahasiswa")</f>
        <v>Mahasiswa</v>
      </c>
      <c r="I544" s="6" t="str">
        <f>IFERROR(__xludf.DUMMYFUNCTION("""COMPUTED_VALUE"""),"Rifka Anisafirli")</f>
        <v>Rifka Anisafirli</v>
      </c>
      <c r="J544" s="6" t="str">
        <f>IFERROR(__xludf.DUMMYFUNCTION("""COMPUTED_VALUE"""),"Atik Lusia")</f>
        <v>Atik Lusia</v>
      </c>
      <c r="K544" s="6"/>
      <c r="L544" s="6"/>
      <c r="M544" s="6"/>
      <c r="N544" s="6"/>
      <c r="O544" s="6"/>
      <c r="P544" s="10" t="str">
        <f>IFERROR(__xludf.DUMMYFUNCTION("""COMPUTED_VALUE"""),"Rifka Anisafirli,Atik Lusia,,")</f>
        <v>Rifka Anisafirli,Atik Lusia,,</v>
      </c>
      <c r="Q544" s="11" t="str">
        <f>IFERROR(__xludf.DUMMYFUNCTION("""COMPUTED_VALUE"""),"https://ejournal.nusantaraglobal.ac.id/index.php/sentri/article/view/750")</f>
        <v>https://ejournal.nusantaraglobal.ac.id/index.php/sentri/article/view/750</v>
      </c>
      <c r="R544" s="6"/>
    </row>
    <row r="545">
      <c r="A545" s="5">
        <f>IFERROR(__xludf.DUMMYFUNCTION("""COMPUTED_VALUE"""),544.0)</f>
        <v>544</v>
      </c>
      <c r="B545" s="6" t="str">
        <f>IFERROR(__xludf.DUMMYFUNCTION("""COMPUTED_VALUE"""),"Analisis Faktor–Faktor Yang Mempengaruhi Customer Loyalty Terhadap Produk Indomie Dengan Customer Satisfaction Sebagai Variabel Intervening")</f>
        <v>Analisis Faktor–Faktor Yang Mempengaruhi Customer Loyalty Terhadap Produk Indomie Dengan Customer Satisfaction Sebagai Variabel Intervening</v>
      </c>
      <c r="C545" s="7">
        <f>IFERROR(__xludf.DUMMYFUNCTION("""COMPUTED_VALUE"""),2023.0)</f>
        <v>2023</v>
      </c>
      <c r="D545" s="8" t="str">
        <f>IFERROR(__xludf.DUMMYFUNCTION("""COMPUTED_VALUE"""),"2022/2023")</f>
        <v>2022/2023</v>
      </c>
      <c r="E545" s="9">
        <f>IFERROR(__xludf.DUMMYFUNCTION("""COMPUTED_VALUE"""),45027.0)</f>
        <v>45027</v>
      </c>
      <c r="F545" s="5" t="str">
        <f>IFERROR(__xludf.DUMMYFUNCTION("""COMPUTED_VALUE"""),"Genap")</f>
        <v>Genap</v>
      </c>
      <c r="G545" s="5" t="str">
        <f>IFERROR(__xludf.DUMMYFUNCTION("""COMPUTED_VALUE"""),"Manajemen")</f>
        <v>Manajemen</v>
      </c>
      <c r="H545" s="10" t="str">
        <f>IFERROR(__xludf.DUMMYFUNCTION("""COMPUTED_VALUE"""),"Mahasiswa")</f>
        <v>Mahasiswa</v>
      </c>
      <c r="I545" s="6" t="str">
        <f>IFERROR(__xludf.DUMMYFUNCTION("""COMPUTED_VALUE"""),"Aji Novi Suhendi")</f>
        <v>Aji Novi Suhendi</v>
      </c>
      <c r="J545" s="6" t="str">
        <f>IFERROR(__xludf.DUMMYFUNCTION("""COMPUTED_VALUE"""),"Muhammad Jalari")</f>
        <v>Muhammad Jalari</v>
      </c>
      <c r="K545" s="6"/>
      <c r="L545" s="6"/>
      <c r="M545" s="6"/>
      <c r="N545" s="6"/>
      <c r="O545" s="6"/>
      <c r="P545" s="10" t="str">
        <f>IFERROR(__xludf.DUMMYFUNCTION("""COMPUTED_VALUE"""),"Aji Novi Suhendi,Muhammad Jalari,,")</f>
        <v>Aji Novi Suhendi,Muhammad Jalari,,</v>
      </c>
      <c r="Q545" s="11" t="str">
        <f>IFERROR(__xludf.DUMMYFUNCTION("""COMPUTED_VALUE"""),"https://e-jurnal.nobel.ac.id/index.php/jpm/article/view/3733")</f>
        <v>https://e-jurnal.nobel.ac.id/index.php/jpm/article/view/3733</v>
      </c>
      <c r="R545" s="6"/>
    </row>
    <row r="546">
      <c r="A546" s="5">
        <f>IFERROR(__xludf.DUMMYFUNCTION("""COMPUTED_VALUE"""),545.0)</f>
        <v>545</v>
      </c>
      <c r="B546" s="6" t="str">
        <f>IFERROR(__xludf.DUMMYFUNCTION("""COMPUTED_VALUE"""),"Determinant Factors of Digital Financial Literacy: A Study of Women Entrepreneurs")</f>
        <v>Determinant Factors of Digital Financial Literacy: A Study of Women Entrepreneurs</v>
      </c>
      <c r="C546" s="7">
        <f>IFERROR(__xludf.DUMMYFUNCTION("""COMPUTED_VALUE"""),2023.0)</f>
        <v>2023</v>
      </c>
      <c r="D546" s="8" t="str">
        <f>IFERROR(__xludf.DUMMYFUNCTION("""COMPUTED_VALUE"""),"2022/2023")</f>
        <v>2022/2023</v>
      </c>
      <c r="E546" s="9">
        <f>IFERROR(__xludf.DUMMYFUNCTION("""COMPUTED_VALUE"""),45028.0)</f>
        <v>45028</v>
      </c>
      <c r="F546" s="5" t="str">
        <f>IFERROR(__xludf.DUMMYFUNCTION("""COMPUTED_VALUE"""),"Genap")</f>
        <v>Genap</v>
      </c>
      <c r="G546" s="5" t="str">
        <f>IFERROR(__xludf.DUMMYFUNCTION("""COMPUTED_VALUE"""),"Manajemen")</f>
        <v>Manajemen</v>
      </c>
      <c r="H546" s="10" t="str">
        <f>IFERROR(__xludf.DUMMYFUNCTION("""COMPUTED_VALUE"""),"Mahasiswa")</f>
        <v>Mahasiswa</v>
      </c>
      <c r="I546" s="6" t="str">
        <f>IFERROR(__xludf.DUMMYFUNCTION("""COMPUTED_VALUE"""),"Mardhiyaturrositaningsih")</f>
        <v>Mardhiyaturrositaningsih</v>
      </c>
      <c r="J546" s="6" t="str">
        <f>IFERROR(__xludf.DUMMYFUNCTION("""COMPUTED_VALUE"""),"Muhammad Luqman Hakim")</f>
        <v>Muhammad Luqman Hakim</v>
      </c>
      <c r="K546" s="6"/>
      <c r="L546" s="6"/>
      <c r="M546" s="6"/>
      <c r="N546" s="6"/>
      <c r="O546" s="6"/>
      <c r="P546" s="10" t="str">
        <f>IFERROR(__xludf.DUMMYFUNCTION("""COMPUTED_VALUE"""),"Mardhiyaturrositaningsih,Muhammad Luqman Hakim,,")</f>
        <v>Mardhiyaturrositaningsih,Muhammad Luqman Hakim,,</v>
      </c>
      <c r="Q546" s="11" t="str">
        <f>IFERROR(__xludf.DUMMYFUNCTION("""COMPUTED_VALUE"""),"https://ejournal.uinsaid.ac.id/index.php/jfib/article/view/5495")</f>
        <v>https://ejournal.uinsaid.ac.id/index.php/jfib/article/view/5495</v>
      </c>
      <c r="R546" s="6"/>
    </row>
    <row r="547">
      <c r="A547" s="5">
        <f>IFERROR(__xludf.DUMMYFUNCTION("""COMPUTED_VALUE"""),546.0)</f>
        <v>546</v>
      </c>
      <c r="B547" s="6" t="str">
        <f>IFERROR(__xludf.DUMMYFUNCTION("""COMPUTED_VALUE"""),"Analisis Kemudahan Akses, Fitur Aplikasi, Dan Strategi Promosi Terhadap Keputusan Penggunaan Shopeepay")</f>
        <v>Analisis Kemudahan Akses, Fitur Aplikasi, Dan Strategi Promosi Terhadap Keputusan Penggunaan Shopeepay</v>
      </c>
      <c r="C547" s="7">
        <f>IFERROR(__xludf.DUMMYFUNCTION("""COMPUTED_VALUE"""),2023.0)</f>
        <v>2023</v>
      </c>
      <c r="D547" s="8" t="str">
        <f>IFERROR(__xludf.DUMMYFUNCTION("""COMPUTED_VALUE"""),"2022/2023")</f>
        <v>2022/2023</v>
      </c>
      <c r="E547" s="9">
        <f>IFERROR(__xludf.DUMMYFUNCTION("""COMPUTED_VALUE"""),45030.0)</f>
        <v>45030</v>
      </c>
      <c r="F547" s="5" t="str">
        <f>IFERROR(__xludf.DUMMYFUNCTION("""COMPUTED_VALUE"""),"Genap")</f>
        <v>Genap</v>
      </c>
      <c r="G547" s="5" t="str">
        <f>IFERROR(__xludf.DUMMYFUNCTION("""COMPUTED_VALUE"""),"Manajemen")</f>
        <v>Manajemen</v>
      </c>
      <c r="H547" s="10" t="str">
        <f>IFERROR(__xludf.DUMMYFUNCTION("""COMPUTED_VALUE"""),"Mahasiswa")</f>
        <v>Mahasiswa</v>
      </c>
      <c r="I547" s="6" t="str">
        <f>IFERROR(__xludf.DUMMYFUNCTION("""COMPUTED_VALUE"""),"Wahyu Intan Isnaini")</f>
        <v>Wahyu Intan Isnaini</v>
      </c>
      <c r="J547" s="6" t="str">
        <f>IFERROR(__xludf.DUMMYFUNCTION("""COMPUTED_VALUE"""),"Budi Istiyanto")</f>
        <v>Budi Istiyanto</v>
      </c>
      <c r="K547" s="6"/>
      <c r="L547" s="6"/>
      <c r="M547" s="6"/>
      <c r="N547" s="6"/>
      <c r="O547" s="6"/>
      <c r="P547" s="10" t="str">
        <f>IFERROR(__xludf.DUMMYFUNCTION("""COMPUTED_VALUE"""),"Wahyu Intan Isnaini,Budi Istiyanto,,")</f>
        <v>Wahyu Intan Isnaini,Budi Istiyanto,,</v>
      </c>
      <c r="Q547" s="11" t="str">
        <f>IFERROR(__xludf.DUMMYFUNCTION("""COMPUTED_VALUE"""),"https://prin.or.id/index.php/mri/article/view/1081")</f>
        <v>https://prin.or.id/index.php/mri/article/view/1081</v>
      </c>
      <c r="R547" s="6"/>
    </row>
    <row r="548">
      <c r="A548" s="5">
        <f>IFERROR(__xludf.DUMMYFUNCTION("""COMPUTED_VALUE"""),547.0)</f>
        <v>547</v>
      </c>
      <c r="B548" s="6" t="str">
        <f>IFERROR(__xludf.DUMMYFUNCTION("""COMPUTED_VALUE"""),"Intellectual Capital Sebagai Penentu Efisiensi Operasi Pada Rumah Sakit di Indonesia")</f>
        <v>Intellectual Capital Sebagai Penentu Efisiensi Operasi Pada Rumah Sakit di Indonesia</v>
      </c>
      <c r="C548" s="7">
        <f>IFERROR(__xludf.DUMMYFUNCTION("""COMPUTED_VALUE"""),2023.0)</f>
        <v>2023</v>
      </c>
      <c r="D548" s="8" t="str">
        <f>IFERROR(__xludf.DUMMYFUNCTION("""COMPUTED_VALUE"""),"2022/2023")</f>
        <v>2022/2023</v>
      </c>
      <c r="E548" s="9">
        <f>IFERROR(__xludf.DUMMYFUNCTION("""COMPUTED_VALUE"""),45030.0)</f>
        <v>45030</v>
      </c>
      <c r="F548" s="5" t="str">
        <f>IFERROR(__xludf.DUMMYFUNCTION("""COMPUTED_VALUE"""),"Genap")</f>
        <v>Genap</v>
      </c>
      <c r="G548" s="5" t="str">
        <f>IFERROR(__xludf.DUMMYFUNCTION("""COMPUTED_VALUE"""),"Akuntansi")</f>
        <v>Akuntansi</v>
      </c>
      <c r="H548" s="10" t="str">
        <f>IFERROR(__xludf.DUMMYFUNCTION("""COMPUTED_VALUE"""),"Dosen")</f>
        <v>Dosen</v>
      </c>
      <c r="I548" s="6" t="str">
        <f>IFERROR(__xludf.DUMMYFUNCTION("""COMPUTED_VALUE"""),"Heri Susanto")</f>
        <v>Heri Susanto</v>
      </c>
      <c r="J548" s="6" t="str">
        <f>IFERROR(__xludf.DUMMYFUNCTION("""COMPUTED_VALUE"""),"Rosita")</f>
        <v>Rosita</v>
      </c>
      <c r="K548" s="6" t="str">
        <f>IFERROR(__xludf.DUMMYFUNCTION("""COMPUTED_VALUE"""),"Handani Maheresmi")</f>
        <v>Handani Maheresmi</v>
      </c>
      <c r="L548" s="6"/>
      <c r="M548" s="6"/>
      <c r="N548" s="6"/>
      <c r="O548" s="6"/>
      <c r="P548" s="10" t="str">
        <f>IFERROR(__xludf.DUMMYFUNCTION("""COMPUTED_VALUE"""),"Heri Susanto,Rosita,Handani Maheresmi,")</f>
        <v>Heri Susanto,Rosita,Handani Maheresmi,</v>
      </c>
      <c r="Q548" s="11" t="str">
        <f>IFERROR(__xludf.DUMMYFUNCTION("""COMPUTED_VALUE"""),"https://journal.feb.unmul.ac.id/index.php/AKUNTABEL/article/view/11848")</f>
        <v>https://journal.feb.unmul.ac.id/index.php/AKUNTABEL/article/view/11848</v>
      </c>
      <c r="R548" s="6"/>
    </row>
    <row r="549">
      <c r="A549" s="5">
        <f>IFERROR(__xludf.DUMMYFUNCTION("""COMPUTED_VALUE"""),548.0)</f>
        <v>548</v>
      </c>
      <c r="B549" s="6" t="str">
        <f>IFERROR(__xludf.DUMMYFUNCTION("""COMPUTED_VALUE"""),"Faktor-Faktor Yang Mempengaruhi Minat Mahasiswa Stie Surakarta Berinvestasi Di Pasar Modal Syariah")</f>
        <v>Faktor-Faktor Yang Mempengaruhi Minat Mahasiswa Stie Surakarta Berinvestasi Di Pasar Modal Syariah</v>
      </c>
      <c r="C549" s="7">
        <f>IFERROR(__xludf.DUMMYFUNCTION("""COMPUTED_VALUE"""),2023.0)</f>
        <v>2023</v>
      </c>
      <c r="D549" s="8" t="str">
        <f>IFERROR(__xludf.DUMMYFUNCTION("""COMPUTED_VALUE"""),"2022/2023")</f>
        <v>2022/2023</v>
      </c>
      <c r="E549" s="9">
        <f>IFERROR(__xludf.DUMMYFUNCTION("""COMPUTED_VALUE"""),45045.0)</f>
        <v>45045</v>
      </c>
      <c r="F549" s="5" t="str">
        <f>IFERROR(__xludf.DUMMYFUNCTION("""COMPUTED_VALUE"""),"Genap")</f>
        <v>Genap</v>
      </c>
      <c r="G549" s="5" t="str">
        <f>IFERROR(__xludf.DUMMYFUNCTION("""COMPUTED_VALUE"""),"Akuntansi")</f>
        <v>Akuntansi</v>
      </c>
      <c r="H549" s="10" t="str">
        <f>IFERROR(__xludf.DUMMYFUNCTION("""COMPUTED_VALUE"""),"Mahasiswa")</f>
        <v>Mahasiswa</v>
      </c>
      <c r="I549" s="6" t="str">
        <f>IFERROR(__xludf.DUMMYFUNCTION("""COMPUTED_VALUE"""),"Selviana Yosa Pafiandika")</f>
        <v>Selviana Yosa Pafiandika</v>
      </c>
      <c r="J549" s="6" t="str">
        <f>IFERROR(__xludf.DUMMYFUNCTION("""COMPUTED_VALUE"""),"Arif Nugroho Rachman")</f>
        <v>Arif Nugroho Rachman</v>
      </c>
      <c r="K549" s="6"/>
      <c r="L549" s="6"/>
      <c r="M549" s="6"/>
      <c r="N549" s="6"/>
      <c r="O549" s="6"/>
      <c r="P549" s="10" t="str">
        <f>IFERROR(__xludf.DUMMYFUNCTION("""COMPUTED_VALUE"""),"Selviana Yosa Pafiandika,Arif Nugroho Rachman,,")</f>
        <v>Selviana Yosa Pafiandika,Arif Nugroho Rachman,,</v>
      </c>
      <c r="Q549" s="11" t="str">
        <f>IFERROR(__xludf.DUMMYFUNCTION("""COMPUTED_VALUE"""),"https://bajangjournal.com/index.php/Juremi/article/view/5590")</f>
        <v>https://bajangjournal.com/index.php/Juremi/article/view/5590</v>
      </c>
      <c r="R549" s="6"/>
    </row>
    <row r="550">
      <c r="A550" s="5">
        <f>IFERROR(__xludf.DUMMYFUNCTION("""COMPUTED_VALUE"""),549.0)</f>
        <v>549</v>
      </c>
      <c r="B550" s="6" t="str">
        <f>IFERROR(__xludf.DUMMYFUNCTION("""COMPUTED_VALUE"""),"Factors that Influence Interest in Purchasing Scarlett Whitening Products among Solo Raya Women")</f>
        <v>Factors that Influence Interest in Purchasing Scarlett Whitening Products among Solo Raya Women</v>
      </c>
      <c r="C550" s="7">
        <f>IFERROR(__xludf.DUMMYFUNCTION("""COMPUTED_VALUE"""),2023.0)</f>
        <v>2023</v>
      </c>
      <c r="D550" s="8" t="str">
        <f>IFERROR(__xludf.DUMMYFUNCTION("""COMPUTED_VALUE"""),"2022/2023")</f>
        <v>2022/2023</v>
      </c>
      <c r="E550" s="9">
        <f>IFERROR(__xludf.DUMMYFUNCTION("""COMPUTED_VALUE"""),45046.0)</f>
        <v>45046</v>
      </c>
      <c r="F550" s="5" t="str">
        <f>IFERROR(__xludf.DUMMYFUNCTION("""COMPUTED_VALUE"""),"Genap")</f>
        <v>Genap</v>
      </c>
      <c r="G550" s="5" t="str">
        <f>IFERROR(__xludf.DUMMYFUNCTION("""COMPUTED_VALUE"""),"Manajemen")</f>
        <v>Manajemen</v>
      </c>
      <c r="H550" s="10" t="str">
        <f>IFERROR(__xludf.DUMMYFUNCTION("""COMPUTED_VALUE"""),"Mahasiswa")</f>
        <v>Mahasiswa</v>
      </c>
      <c r="I550" s="6" t="str">
        <f>IFERROR(__xludf.DUMMYFUNCTION("""COMPUTED_VALUE"""),"Aoliya Herman")</f>
        <v>Aoliya Herman</v>
      </c>
      <c r="J550" s="6" t="str">
        <f>IFERROR(__xludf.DUMMYFUNCTION("""COMPUTED_VALUE"""),"Putri Maisara")</f>
        <v>Putri Maisara</v>
      </c>
      <c r="K550" s="6"/>
      <c r="L550" s="6"/>
      <c r="M550" s="6"/>
      <c r="N550" s="6"/>
      <c r="O550" s="6"/>
      <c r="P550" s="10" t="str">
        <f>IFERROR(__xludf.DUMMYFUNCTION("""COMPUTED_VALUE"""),"Aoliya Herman,Putri Maisara,,")</f>
        <v>Aoliya Herman,Putri Maisara,,</v>
      </c>
      <c r="Q550" s="11" t="str">
        <f>IFERROR(__xludf.DUMMYFUNCTION("""COMPUTED_VALUE"""),"https://journal.undiknas.ac.id/index.php/REVENUE/article/view/4857")</f>
        <v>https://journal.undiknas.ac.id/index.php/REVENUE/article/view/4857</v>
      </c>
      <c r="R550" s="6"/>
    </row>
    <row r="551">
      <c r="A551" s="5">
        <f>IFERROR(__xludf.DUMMYFUNCTION("""COMPUTED_VALUE"""),550.0)</f>
        <v>550</v>
      </c>
      <c r="B551" s="6" t="str">
        <f>IFERROR(__xludf.DUMMYFUNCTION("""COMPUTED_VALUE"""),"Analysis of Trust Factors, Brand Image, &amp; Promotion That Influence Loyalty Customer on Service Gofood in Solo Raya")</f>
        <v>Analysis of Trust Factors, Brand Image, &amp; Promotion That Influence Loyalty Customer on Service Gofood in Solo Raya</v>
      </c>
      <c r="C551" s="7">
        <f>IFERROR(__xludf.DUMMYFUNCTION("""COMPUTED_VALUE"""),2023.0)</f>
        <v>2023</v>
      </c>
      <c r="D551" s="8" t="str">
        <f>IFERROR(__xludf.DUMMYFUNCTION("""COMPUTED_VALUE"""),"2022/2023")</f>
        <v>2022/2023</v>
      </c>
      <c r="E551" s="9">
        <f>IFERROR(__xludf.DUMMYFUNCTION("""COMPUTED_VALUE"""),45046.0)</f>
        <v>45046</v>
      </c>
      <c r="F551" s="5" t="str">
        <f>IFERROR(__xludf.DUMMYFUNCTION("""COMPUTED_VALUE"""),"Genap")</f>
        <v>Genap</v>
      </c>
      <c r="G551" s="5" t="str">
        <f>IFERROR(__xludf.DUMMYFUNCTION("""COMPUTED_VALUE"""),"Manajemen")</f>
        <v>Manajemen</v>
      </c>
      <c r="H551" s="10" t="str">
        <f>IFERROR(__xludf.DUMMYFUNCTION("""COMPUTED_VALUE"""),"Mahasiswa")</f>
        <v>Mahasiswa</v>
      </c>
      <c r="I551" s="6" t="str">
        <f>IFERROR(__xludf.DUMMYFUNCTION("""COMPUTED_VALUE"""),"Zahroh Febriani Saputri")</f>
        <v>Zahroh Febriani Saputri</v>
      </c>
      <c r="J551" s="6" t="str">
        <f>IFERROR(__xludf.DUMMYFUNCTION("""COMPUTED_VALUE"""),"Putri Maisara")</f>
        <v>Putri Maisara</v>
      </c>
      <c r="K551" s="6"/>
      <c r="L551" s="6"/>
      <c r="M551" s="6"/>
      <c r="N551" s="6"/>
      <c r="O551" s="6"/>
      <c r="P551" s="10" t="str">
        <f>IFERROR(__xludf.DUMMYFUNCTION("""COMPUTED_VALUE"""),"Zahroh Febriani Saputri,Putri Maisara,,")</f>
        <v>Zahroh Febriani Saputri,Putri Maisara,,</v>
      </c>
      <c r="Q551" s="11" t="str">
        <f>IFERROR(__xludf.DUMMYFUNCTION("""COMPUTED_VALUE"""),"https://journal.undiknas.ac.id/index.php/REVENUE/article/view/4855")</f>
        <v>https://journal.undiknas.ac.id/index.php/REVENUE/article/view/4855</v>
      </c>
      <c r="R551" s="6"/>
    </row>
    <row r="552">
      <c r="A552" s="5">
        <f>IFERROR(__xludf.DUMMYFUNCTION("""COMPUTED_VALUE"""),551.0)</f>
        <v>551</v>
      </c>
      <c r="B552" s="6" t="str">
        <f>IFERROR(__xludf.DUMMYFUNCTION("""COMPUTED_VALUE"""),"Factors Influencing Purchasing Decision on Telkomsel Providers in Solo Raya")</f>
        <v>Factors Influencing Purchasing Decision on Telkomsel Providers in Solo Raya</v>
      </c>
      <c r="C552" s="7">
        <f>IFERROR(__xludf.DUMMYFUNCTION("""COMPUTED_VALUE"""),2023.0)</f>
        <v>2023</v>
      </c>
      <c r="D552" s="8" t="str">
        <f>IFERROR(__xludf.DUMMYFUNCTION("""COMPUTED_VALUE"""),"2022/2023")</f>
        <v>2022/2023</v>
      </c>
      <c r="E552" s="9">
        <f>IFERROR(__xludf.DUMMYFUNCTION("""COMPUTED_VALUE"""),45046.0)</f>
        <v>45046</v>
      </c>
      <c r="F552" s="5" t="str">
        <f>IFERROR(__xludf.DUMMYFUNCTION("""COMPUTED_VALUE"""),"Genap")</f>
        <v>Genap</v>
      </c>
      <c r="G552" s="5" t="str">
        <f>IFERROR(__xludf.DUMMYFUNCTION("""COMPUTED_VALUE"""),"Manajemen")</f>
        <v>Manajemen</v>
      </c>
      <c r="H552" s="10" t="str">
        <f>IFERROR(__xludf.DUMMYFUNCTION("""COMPUTED_VALUE"""),"Mahasiswa")</f>
        <v>Mahasiswa</v>
      </c>
      <c r="I552" s="6" t="str">
        <f>IFERROR(__xludf.DUMMYFUNCTION("""COMPUTED_VALUE"""),"Fernandita Khusnul Khotimah")</f>
        <v>Fernandita Khusnul Khotimah</v>
      </c>
      <c r="J552" s="6" t="str">
        <f>IFERROR(__xludf.DUMMYFUNCTION("""COMPUTED_VALUE"""),"Putri Maisara")</f>
        <v>Putri Maisara</v>
      </c>
      <c r="K552" s="6"/>
      <c r="L552" s="6"/>
      <c r="M552" s="6"/>
      <c r="N552" s="6"/>
      <c r="O552" s="6"/>
      <c r="P552" s="10" t="str">
        <f>IFERROR(__xludf.DUMMYFUNCTION("""COMPUTED_VALUE"""),"Fernandita Khusnul Khotimah,Putri Maisara,,")</f>
        <v>Fernandita Khusnul Khotimah,Putri Maisara,,</v>
      </c>
      <c r="Q552" s="11" t="str">
        <f>IFERROR(__xludf.DUMMYFUNCTION("""COMPUTED_VALUE"""),"https://journal.undiknas.ac.id/index.php/REVENUE/article/view/4856")</f>
        <v>https://journal.undiknas.ac.id/index.php/REVENUE/article/view/4856</v>
      </c>
      <c r="R552" s="6"/>
    </row>
    <row r="553">
      <c r="A553" s="5">
        <f>IFERROR(__xludf.DUMMYFUNCTION("""COMPUTED_VALUE"""),552.0)</f>
        <v>552</v>
      </c>
      <c r="B553" s="6" t="str">
        <f>IFERROR(__xludf.DUMMYFUNCTION("""COMPUTED_VALUE"""),"Finance Technology Strategy for Islamic Banking Competitiveness")</f>
        <v>Finance Technology Strategy for Islamic Banking Competitiveness</v>
      </c>
      <c r="C553" s="7">
        <f>IFERROR(__xludf.DUMMYFUNCTION("""COMPUTED_VALUE"""),2023.0)</f>
        <v>2023</v>
      </c>
      <c r="D553" s="8" t="str">
        <f>IFERROR(__xludf.DUMMYFUNCTION("""COMPUTED_VALUE"""),"2022/2023")</f>
        <v>2022/2023</v>
      </c>
      <c r="E553" s="9">
        <f>IFERROR(__xludf.DUMMYFUNCTION("""COMPUTED_VALUE"""),45046.0)</f>
        <v>45046</v>
      </c>
      <c r="F553" s="5" t="str">
        <f>IFERROR(__xludf.DUMMYFUNCTION("""COMPUTED_VALUE"""),"Genap")</f>
        <v>Genap</v>
      </c>
      <c r="G553" s="5" t="str">
        <f>IFERROR(__xludf.DUMMYFUNCTION("""COMPUTED_VALUE"""),"Manajemen")</f>
        <v>Manajemen</v>
      </c>
      <c r="H553" s="10" t="str">
        <f>IFERROR(__xludf.DUMMYFUNCTION("""COMPUTED_VALUE"""),"Dosen")</f>
        <v>Dosen</v>
      </c>
      <c r="I553" s="6" t="str">
        <f>IFERROR(__xludf.DUMMYFUNCTION("""COMPUTED_VALUE"""),"Muhammad Luqman Hakim")</f>
        <v>Muhammad Luqman Hakim</v>
      </c>
      <c r="J553" s="6"/>
      <c r="K553" s="6"/>
      <c r="L553" s="6"/>
      <c r="M553" s="6"/>
      <c r="N553" s="6"/>
      <c r="O553" s="6"/>
      <c r="P553" s="10" t="str">
        <f>IFERROR(__xludf.DUMMYFUNCTION("""COMPUTED_VALUE"""),"Muhammad Luqman Hakim,,,")</f>
        <v>Muhammad Luqman Hakim,,,</v>
      </c>
      <c r="Q553" s="11" t="str">
        <f>IFERROR(__xludf.DUMMYFUNCTION("""COMPUTED_VALUE"""),"https://journal.walisongo.ac.id/index.php/arbah/article/view/17998")</f>
        <v>https://journal.walisongo.ac.id/index.php/arbah/article/view/17998</v>
      </c>
      <c r="R553" s="6"/>
    </row>
    <row r="554">
      <c r="A554" s="5">
        <f>IFERROR(__xludf.DUMMYFUNCTION("""COMPUTED_VALUE"""),553.0)</f>
        <v>553</v>
      </c>
      <c r="B554" s="6" t="str">
        <f>IFERROR(__xludf.DUMMYFUNCTION("""COMPUTED_VALUE"""),"Financial Technology Strategy for Islamic Banking Competitiveness")</f>
        <v>Financial Technology Strategy for Islamic Banking Competitiveness</v>
      </c>
      <c r="C554" s="7">
        <f>IFERROR(__xludf.DUMMYFUNCTION("""COMPUTED_VALUE"""),2023.0)</f>
        <v>2023</v>
      </c>
      <c r="D554" s="8" t="str">
        <f>IFERROR(__xludf.DUMMYFUNCTION("""COMPUTED_VALUE"""),"2022/2023")</f>
        <v>2022/2023</v>
      </c>
      <c r="E554" s="9">
        <f>IFERROR(__xludf.DUMMYFUNCTION("""COMPUTED_VALUE"""),45046.0)</f>
        <v>45046</v>
      </c>
      <c r="F554" s="5" t="str">
        <f>IFERROR(__xludf.DUMMYFUNCTION("""COMPUTED_VALUE"""),"Genap")</f>
        <v>Genap</v>
      </c>
      <c r="G554" s="5" t="str">
        <f>IFERROR(__xludf.DUMMYFUNCTION("""COMPUTED_VALUE"""),"Manajemen")</f>
        <v>Manajemen</v>
      </c>
      <c r="H554" s="10" t="str">
        <f>IFERROR(__xludf.DUMMYFUNCTION("""COMPUTED_VALUE"""),"Dosen")</f>
        <v>Dosen</v>
      </c>
      <c r="I554" s="6" t="str">
        <f>IFERROR(__xludf.DUMMYFUNCTION("""COMPUTED_VALUE"""),"Muhammad Luqman Hakim")</f>
        <v>Muhammad Luqman Hakim</v>
      </c>
      <c r="J554" s="6"/>
      <c r="K554" s="6"/>
      <c r="L554" s="6"/>
      <c r="M554" s="6"/>
      <c r="N554" s="6"/>
      <c r="O554" s="6"/>
      <c r="P554" s="10" t="str">
        <f>IFERROR(__xludf.DUMMYFUNCTION("""COMPUTED_VALUE"""),"Muhammad Luqman Hakim,,,")</f>
        <v>Muhammad Luqman Hakim,,,</v>
      </c>
      <c r="Q554" s="11" t="str">
        <f>IFERROR(__xludf.DUMMYFUNCTION("""COMPUTED_VALUE"""),"https://journal.walisongo.ac.id/index.php/arbah/article/view/17998")</f>
        <v>https://journal.walisongo.ac.id/index.php/arbah/article/view/17998</v>
      </c>
      <c r="R554" s="6"/>
    </row>
    <row r="555">
      <c r="A555" s="5">
        <f>IFERROR(__xludf.DUMMYFUNCTION("""COMPUTED_VALUE"""),554.0)</f>
        <v>554</v>
      </c>
      <c r="B555" s="6" t="str">
        <f>IFERROR(__xludf.DUMMYFUNCTION("""COMPUTED_VALUE"""),"ANALISIS FAKTOR-FAKTOR YANG MEMPENGARUHI LABA UMKM GERABAH DI KABUPATEN KLATEN")</f>
        <v>ANALISIS FAKTOR-FAKTOR YANG MEMPENGARUHI LABA UMKM GERABAH DI KABUPATEN KLATEN</v>
      </c>
      <c r="C555" s="7">
        <f>IFERROR(__xludf.DUMMYFUNCTION("""COMPUTED_VALUE"""),2023.0)</f>
        <v>2023</v>
      </c>
      <c r="D555" s="8" t="str">
        <f>IFERROR(__xludf.DUMMYFUNCTION("""COMPUTED_VALUE"""),"2022/2023")</f>
        <v>2022/2023</v>
      </c>
      <c r="E555" s="9">
        <f>IFERROR(__xludf.DUMMYFUNCTION("""COMPUTED_VALUE"""),45046.0)</f>
        <v>45046</v>
      </c>
      <c r="F555" s="5" t="str">
        <f>IFERROR(__xludf.DUMMYFUNCTION("""COMPUTED_VALUE"""),"Genap")</f>
        <v>Genap</v>
      </c>
      <c r="G555" s="5" t="str">
        <f>IFERROR(__xludf.DUMMYFUNCTION("""COMPUTED_VALUE"""),"Akuntansi")</f>
        <v>Akuntansi</v>
      </c>
      <c r="H555" s="10" t="str">
        <f>IFERROR(__xludf.DUMMYFUNCTION("""COMPUTED_VALUE"""),"Mahasiswa")</f>
        <v>Mahasiswa</v>
      </c>
      <c r="I555" s="6" t="str">
        <f>IFERROR(__xludf.DUMMYFUNCTION("""COMPUTED_VALUE"""),"Linda Astuti")</f>
        <v>Linda Astuti</v>
      </c>
      <c r="J555" s="6" t="str">
        <f>IFERROR(__xludf.DUMMYFUNCTION("""COMPUTED_VALUE"""),"Eko Triyanto")</f>
        <v>Eko Triyanto</v>
      </c>
      <c r="K555" s="6"/>
      <c r="L555" s="6"/>
      <c r="M555" s="6"/>
      <c r="N555" s="6"/>
      <c r="O555" s="6"/>
      <c r="P555" s="10" t="str">
        <f>IFERROR(__xludf.DUMMYFUNCTION("""COMPUTED_VALUE"""),"Linda Astuti,Eko Triyanto,,")</f>
        <v>Linda Astuti,Eko Triyanto,,</v>
      </c>
      <c r="Q555" s="11" t="str">
        <f>IFERROR(__xludf.DUMMYFUNCTION("""COMPUTED_VALUE"""),"https://prin.or.id/index.php/JURRIE/article/view/1376")</f>
        <v>https://prin.or.id/index.php/JURRIE/article/view/1376</v>
      </c>
      <c r="R555" s="6"/>
    </row>
    <row r="556">
      <c r="A556" s="5">
        <f>IFERROR(__xludf.DUMMYFUNCTION("""COMPUTED_VALUE"""),555.0)</f>
        <v>555</v>
      </c>
      <c r="B556" s="6" t="str">
        <f>IFERROR(__xludf.DUMMYFUNCTION("""COMPUTED_VALUE"""),"Pengaruh Brand Ambassador, Layanan Cash On Delivery, Dan Online Customer Review Terhadap Keputusan Pembelian Situs Shopee Generasi Z Di Kota Surakarta")</f>
        <v>Pengaruh Brand Ambassador, Layanan Cash On Delivery, Dan Online Customer Review Terhadap Keputusan Pembelian Situs Shopee Generasi Z Di Kota Surakarta</v>
      </c>
      <c r="C556" s="7">
        <f>IFERROR(__xludf.DUMMYFUNCTION("""COMPUTED_VALUE"""),2023.0)</f>
        <v>2023</v>
      </c>
      <c r="D556" s="8" t="str">
        <f>IFERROR(__xludf.DUMMYFUNCTION("""COMPUTED_VALUE"""),"2022/2023")</f>
        <v>2022/2023</v>
      </c>
      <c r="E556" s="9">
        <f>IFERROR(__xludf.DUMMYFUNCTION("""COMPUTED_VALUE"""),45050.0)</f>
        <v>45050</v>
      </c>
      <c r="F556" s="5" t="str">
        <f>IFERROR(__xludf.DUMMYFUNCTION("""COMPUTED_VALUE"""),"Genap")</f>
        <v>Genap</v>
      </c>
      <c r="G556" s="5" t="str">
        <f>IFERROR(__xludf.DUMMYFUNCTION("""COMPUTED_VALUE"""),"")</f>
        <v/>
      </c>
      <c r="H556" s="10" t="str">
        <f>IFERROR(__xludf.DUMMYFUNCTION("""COMPUTED_VALUE"""),"Mahasiswa")</f>
        <v>Mahasiswa</v>
      </c>
      <c r="I556" s="6" t="str">
        <f>IFERROR(__xludf.DUMMYFUNCTION("""COMPUTED_VALUE"""),"Nabila Adillati Azka")</f>
        <v>Nabila Adillati Azka</v>
      </c>
      <c r="J556" s="6"/>
      <c r="K556" s="6"/>
      <c r="L556" s="6"/>
      <c r="M556" s="6"/>
      <c r="N556" s="6"/>
      <c r="O556" s="6"/>
      <c r="P556" s="10" t="str">
        <f>IFERROR(__xludf.DUMMYFUNCTION("""COMPUTED_VALUE"""),"Nabila Adillati Azka,,,")</f>
        <v>Nabila Adillati Azka,,,</v>
      </c>
      <c r="Q556" s="11" t="str">
        <f>IFERROR(__xludf.DUMMYFUNCTION("""COMPUTED_VALUE"""),"https://stiepari.org/index.php/jvm/article/view/281")</f>
        <v>https://stiepari.org/index.php/jvm/article/view/281</v>
      </c>
      <c r="R556" s="6"/>
    </row>
    <row r="557">
      <c r="A557" s="5">
        <f>IFERROR(__xludf.DUMMYFUNCTION("""COMPUTED_VALUE"""),556.0)</f>
        <v>556</v>
      </c>
      <c r="B557" s="6" t="str">
        <f>IFERROR(__xludf.DUMMYFUNCTION("""COMPUTED_VALUE"""),"Pengaruh Brand Image, Harga, Kualitas Produk Dan Content Marketing Terhadap Keputusan Pemeblian Barang Thrift Melalui Instagram Di Solo Raya")</f>
        <v>Pengaruh Brand Image, Harga, Kualitas Produk Dan Content Marketing Terhadap Keputusan Pemeblian Barang Thrift Melalui Instagram Di Solo Raya</v>
      </c>
      <c r="C557" s="7">
        <f>IFERROR(__xludf.DUMMYFUNCTION("""COMPUTED_VALUE"""),2023.0)</f>
        <v>2023</v>
      </c>
      <c r="D557" s="8" t="str">
        <f>IFERROR(__xludf.DUMMYFUNCTION("""COMPUTED_VALUE"""),"2022/2023")</f>
        <v>2022/2023</v>
      </c>
      <c r="E557" s="9">
        <f>IFERROR(__xludf.DUMMYFUNCTION("""COMPUTED_VALUE"""),45050.0)</f>
        <v>45050</v>
      </c>
      <c r="F557" s="5" t="str">
        <f>IFERROR(__xludf.DUMMYFUNCTION("""COMPUTED_VALUE"""),"Genap")</f>
        <v>Genap</v>
      </c>
      <c r="G557" s="5" t="str">
        <f>IFERROR(__xludf.DUMMYFUNCTION("""COMPUTED_VALUE"""),"Manajemen")</f>
        <v>Manajemen</v>
      </c>
      <c r="H557" s="10" t="str">
        <f>IFERROR(__xludf.DUMMYFUNCTION("""COMPUTED_VALUE"""),"Mahasiswa")</f>
        <v>Mahasiswa</v>
      </c>
      <c r="I557" s="6" t="str">
        <f>IFERROR(__xludf.DUMMYFUNCTION("""COMPUTED_VALUE"""),"Putri Adilla")</f>
        <v>Putri Adilla</v>
      </c>
      <c r="J557" s="6" t="str">
        <f>IFERROR(__xludf.DUMMYFUNCTION("""COMPUTED_VALUE"""),"Christiawan Hendratmoko")</f>
        <v>Christiawan Hendratmoko</v>
      </c>
      <c r="K557" s="6"/>
      <c r="L557" s="6"/>
      <c r="M557" s="6"/>
      <c r="N557" s="6"/>
      <c r="O557" s="6"/>
      <c r="P557" s="10" t="str">
        <f>IFERROR(__xludf.DUMMYFUNCTION("""COMPUTED_VALUE"""),"Putri Adilla,Christiawan Hendratmoko,,")</f>
        <v>Putri Adilla,Christiawan Hendratmoko,,</v>
      </c>
      <c r="Q557" s="11" t="str">
        <f>IFERROR(__xludf.DUMMYFUNCTION("""COMPUTED_VALUE"""),"https://drive.google.com/file/d/1xPkrdNZsHUS5g_X8zwIhMt0l4uqRkvFo/view?usp=sharing")</f>
        <v>https://drive.google.com/file/d/1xPkrdNZsHUS5g_X8zwIhMt0l4uqRkvFo/view?usp=sharing</v>
      </c>
      <c r="R557" s="6"/>
    </row>
    <row r="558">
      <c r="A558" s="5">
        <f>IFERROR(__xludf.DUMMYFUNCTION("""COMPUTED_VALUE"""),557.0)</f>
        <v>557</v>
      </c>
      <c r="B558" s="6" t="str">
        <f>IFERROR(__xludf.DUMMYFUNCTION("""COMPUTED_VALUE"""),"Pengaruh Atribut Produk, Switching Cost, Kepuasan Konsumen Terhadap Loyalitas Pelanggan (Studi Pada Pengguna Vivo Pada Masyarakat Di Surakarta)")</f>
        <v>Pengaruh Atribut Produk, Switching Cost, Kepuasan Konsumen Terhadap Loyalitas Pelanggan (Studi Pada Pengguna Vivo Pada Masyarakat Di Surakarta)</v>
      </c>
      <c r="C558" s="7">
        <f>IFERROR(__xludf.DUMMYFUNCTION("""COMPUTED_VALUE"""),2023.0)</f>
        <v>2023</v>
      </c>
      <c r="D558" s="8" t="str">
        <f>IFERROR(__xludf.DUMMYFUNCTION("""COMPUTED_VALUE"""),"2022/2023")</f>
        <v>2022/2023</v>
      </c>
      <c r="E558" s="9">
        <f>IFERROR(__xludf.DUMMYFUNCTION("""COMPUTED_VALUE"""),45056.0)</f>
        <v>45056</v>
      </c>
      <c r="F558" s="5" t="str">
        <f>IFERROR(__xludf.DUMMYFUNCTION("""COMPUTED_VALUE"""),"Genap")</f>
        <v>Genap</v>
      </c>
      <c r="G558" s="5" t="str">
        <f>IFERROR(__xludf.DUMMYFUNCTION("""COMPUTED_VALUE"""),"Manajemen")</f>
        <v>Manajemen</v>
      </c>
      <c r="H558" s="10" t="str">
        <f>IFERROR(__xludf.DUMMYFUNCTION("""COMPUTED_VALUE"""),"Mahasiswa")</f>
        <v>Mahasiswa</v>
      </c>
      <c r="I558" s="6" t="str">
        <f>IFERROR(__xludf.DUMMYFUNCTION("""COMPUTED_VALUE"""),"Alfina Riani")</f>
        <v>Alfina Riani</v>
      </c>
      <c r="J558" s="6" t="str">
        <f>IFERROR(__xludf.DUMMYFUNCTION("""COMPUTED_VALUE"""),"Ari Susanti")</f>
        <v>Ari Susanti</v>
      </c>
      <c r="K558" s="6"/>
      <c r="L558" s="6"/>
      <c r="M558" s="6"/>
      <c r="N558" s="6"/>
      <c r="O558" s="6"/>
      <c r="P558" s="10" t="str">
        <f>IFERROR(__xludf.DUMMYFUNCTION("""COMPUTED_VALUE"""),"Alfina Riani,Ari Susanti,,")</f>
        <v>Alfina Riani,Ari Susanti,,</v>
      </c>
      <c r="Q558" s="11" t="str">
        <f>IFERROR(__xludf.DUMMYFUNCTION("""COMPUTED_VALUE"""),"https://plj.ac.id/ojs/index.php/jrakt/article/view/830")</f>
        <v>https://plj.ac.id/ojs/index.php/jrakt/article/view/830</v>
      </c>
      <c r="R558" s="6"/>
    </row>
    <row r="559">
      <c r="A559" s="5">
        <f>IFERROR(__xludf.DUMMYFUNCTION("""COMPUTED_VALUE"""),558.0)</f>
        <v>558</v>
      </c>
      <c r="B559" s="6" t="str">
        <f>IFERROR(__xludf.DUMMYFUNCTION("""COMPUTED_VALUE"""),"Pengaruh Atribut Produk, Switching Cost, Kepuasan Konsumen Terhadap Loyalitas Pelanggan (Studi Pada Pengguna Vivo Pada Masyarakat Di Surakarta")</f>
        <v>Pengaruh Atribut Produk, Switching Cost, Kepuasan Konsumen Terhadap Loyalitas Pelanggan (Studi Pada Pengguna Vivo Pada Masyarakat Di Surakarta</v>
      </c>
      <c r="C559" s="7">
        <f>IFERROR(__xludf.DUMMYFUNCTION("""COMPUTED_VALUE"""),2023.0)</f>
        <v>2023</v>
      </c>
      <c r="D559" s="8" t="str">
        <f>IFERROR(__xludf.DUMMYFUNCTION("""COMPUTED_VALUE"""),"2022/2023")</f>
        <v>2022/2023</v>
      </c>
      <c r="E559" s="9">
        <f>IFERROR(__xludf.DUMMYFUNCTION("""COMPUTED_VALUE"""),45056.0)</f>
        <v>45056</v>
      </c>
      <c r="F559" s="5" t="str">
        <f>IFERROR(__xludf.DUMMYFUNCTION("""COMPUTED_VALUE"""),"Genap")</f>
        <v>Genap</v>
      </c>
      <c r="G559" s="5" t="str">
        <f>IFERROR(__xludf.DUMMYFUNCTION("""COMPUTED_VALUE"""),"Manajemen")</f>
        <v>Manajemen</v>
      </c>
      <c r="H559" s="10" t="str">
        <f>IFERROR(__xludf.DUMMYFUNCTION("""COMPUTED_VALUE"""),"Mahasiswa")</f>
        <v>Mahasiswa</v>
      </c>
      <c r="I559" s="6" t="str">
        <f>IFERROR(__xludf.DUMMYFUNCTION("""COMPUTED_VALUE"""),"Alfina Riani")</f>
        <v>Alfina Riani</v>
      </c>
      <c r="J559" s="6" t="str">
        <f>IFERROR(__xludf.DUMMYFUNCTION("""COMPUTED_VALUE"""),"Ari Susanti")</f>
        <v>Ari Susanti</v>
      </c>
      <c r="K559" s="6"/>
      <c r="L559" s="6"/>
      <c r="M559" s="6"/>
      <c r="N559" s="6"/>
      <c r="O559" s="6"/>
      <c r="P559" s="10" t="str">
        <f>IFERROR(__xludf.DUMMYFUNCTION("""COMPUTED_VALUE"""),"Alfina Riani,Ari Susanti,,")</f>
        <v>Alfina Riani,Ari Susanti,,</v>
      </c>
      <c r="Q559" s="11" t="str">
        <f>IFERROR(__xludf.DUMMYFUNCTION("""COMPUTED_VALUE"""),"https://plj.ac.id/ojs/index.php/jrakt/article/view/830/535")</f>
        <v>https://plj.ac.id/ojs/index.php/jrakt/article/view/830/535</v>
      </c>
      <c r="R559" s="6"/>
    </row>
    <row r="560">
      <c r="A560" s="5">
        <f>IFERROR(__xludf.DUMMYFUNCTION("""COMPUTED_VALUE"""),559.0)</f>
        <v>559</v>
      </c>
      <c r="B560" s="6" t="str">
        <f>IFERROR(__xludf.DUMMYFUNCTION("""COMPUTED_VALUE"""),"Determinan Untuk Menilai Kinerja Keuangan")</f>
        <v>Determinan Untuk Menilai Kinerja Keuangan</v>
      </c>
      <c r="C560" s="7">
        <f>IFERROR(__xludf.DUMMYFUNCTION("""COMPUTED_VALUE"""),2023.0)</f>
        <v>2023</v>
      </c>
      <c r="D560" s="8" t="str">
        <f>IFERROR(__xludf.DUMMYFUNCTION("""COMPUTED_VALUE"""),"2022/2023")</f>
        <v>2022/2023</v>
      </c>
      <c r="E560" s="9">
        <f>IFERROR(__xludf.DUMMYFUNCTION("""COMPUTED_VALUE"""),45057.0)</f>
        <v>45057</v>
      </c>
      <c r="F560" s="5" t="str">
        <f>IFERROR(__xludf.DUMMYFUNCTION("""COMPUTED_VALUE"""),"Genap")</f>
        <v>Genap</v>
      </c>
      <c r="G560" s="5" t="str">
        <f>IFERROR(__xludf.DUMMYFUNCTION("""COMPUTED_VALUE"""),"Akuntansi")</f>
        <v>Akuntansi</v>
      </c>
      <c r="H560" s="10" t="str">
        <f>IFERROR(__xludf.DUMMYFUNCTION("""COMPUTED_VALUE"""),"Mahasiswa")</f>
        <v>Mahasiswa</v>
      </c>
      <c r="I560" s="6" t="str">
        <f>IFERROR(__xludf.DUMMYFUNCTION("""COMPUTED_VALUE"""),"Ayom Handayani")</f>
        <v>Ayom Handayani</v>
      </c>
      <c r="J560" s="6" t="str">
        <f>IFERROR(__xludf.DUMMYFUNCTION("""COMPUTED_VALUE"""),"Ismunawan")</f>
        <v>Ismunawan</v>
      </c>
      <c r="K560" s="6"/>
      <c r="L560" s="6"/>
      <c r="M560" s="6"/>
      <c r="N560" s="6"/>
      <c r="O560" s="6"/>
      <c r="P560" s="10" t="str">
        <f>IFERROR(__xludf.DUMMYFUNCTION("""COMPUTED_VALUE"""),"Ayom Handayani,Ismunawan,,")</f>
        <v>Ayom Handayani,Ismunawan,,</v>
      </c>
      <c r="Q560" s="11" t="str">
        <f>IFERROR(__xludf.DUMMYFUNCTION("""COMPUTED_VALUE"""),"https://bajangjournal.com/index.php/Juremi/article/view/5618")</f>
        <v>https://bajangjournal.com/index.php/Juremi/article/view/5618</v>
      </c>
      <c r="R560" s="6"/>
    </row>
    <row r="561">
      <c r="A561" s="5">
        <f>IFERROR(__xludf.DUMMYFUNCTION("""COMPUTED_VALUE"""),560.0)</f>
        <v>560</v>
      </c>
      <c r="B561" s="6" t="str">
        <f>IFERROR(__xludf.DUMMYFUNCTION("""COMPUTED_VALUE"""),"PENGARUH LIFESTYLE HEDONISME, KEMAMPUAN FINANSIAL DAN PERILAKU KONSUMTIF TERHADAP PENGGUNAAN TRANSAKSI CASHLESS PADA GENERASI MILENIAL DI SURAKARTA")</f>
        <v>PENGARUH LIFESTYLE HEDONISME, KEMAMPUAN FINANSIAL DAN PERILAKU KONSUMTIF TERHADAP PENGGUNAAN TRANSAKSI CASHLESS PADA GENERASI MILENIAL DI SURAKARTA</v>
      </c>
      <c r="C561" s="7">
        <f>IFERROR(__xludf.DUMMYFUNCTION("""COMPUTED_VALUE"""),2023.0)</f>
        <v>2023</v>
      </c>
      <c r="D561" s="8" t="str">
        <f>IFERROR(__xludf.DUMMYFUNCTION("""COMPUTED_VALUE"""),"2022/2023")</f>
        <v>2022/2023</v>
      </c>
      <c r="E561" s="9">
        <f>IFERROR(__xludf.DUMMYFUNCTION("""COMPUTED_VALUE"""),45058.0)</f>
        <v>45058</v>
      </c>
      <c r="F561" s="5" t="str">
        <f>IFERROR(__xludf.DUMMYFUNCTION("""COMPUTED_VALUE"""),"Genap")</f>
        <v>Genap</v>
      </c>
      <c r="G561" s="5" t="str">
        <f>IFERROR(__xludf.DUMMYFUNCTION("""COMPUTED_VALUE"""),"Manajemen")</f>
        <v>Manajemen</v>
      </c>
      <c r="H561" s="10" t="str">
        <f>IFERROR(__xludf.DUMMYFUNCTION("""COMPUTED_VALUE"""),"Mahasiswa")</f>
        <v>Mahasiswa</v>
      </c>
      <c r="I561" s="6" t="str">
        <f>IFERROR(__xludf.DUMMYFUNCTION("""COMPUTED_VALUE"""),"Guntur Firmansyah")</f>
        <v>Guntur Firmansyah</v>
      </c>
      <c r="J561" s="6" t="str">
        <f>IFERROR(__xludf.DUMMYFUNCTION("""COMPUTED_VALUE"""),"Ari Susanti")</f>
        <v>Ari Susanti</v>
      </c>
      <c r="K561" s="6"/>
      <c r="L561" s="6"/>
      <c r="M561" s="6"/>
      <c r="N561" s="6"/>
      <c r="O561" s="6"/>
      <c r="P561" s="10" t="str">
        <f>IFERROR(__xludf.DUMMYFUNCTION("""COMPUTED_VALUE"""),"Guntur Firmansyah,Ari Susanti,,")</f>
        <v>Guntur Firmansyah,Ari Susanti,,</v>
      </c>
      <c r="Q561" s="11" t="str">
        <f>IFERROR(__xludf.DUMMYFUNCTION("""COMPUTED_VALUE"""),"https://usahid.ac.id/conference/index.php/snpk/article/view/151")</f>
        <v>https://usahid.ac.id/conference/index.php/snpk/article/view/151</v>
      </c>
      <c r="R561" s="6"/>
    </row>
    <row r="562">
      <c r="A562" s="5">
        <f>IFERROR(__xludf.DUMMYFUNCTION("""COMPUTED_VALUE"""),561.0)</f>
        <v>561</v>
      </c>
      <c r="B562" s="6" t="str">
        <f>IFERROR(__xludf.DUMMYFUNCTION("""COMPUTED_VALUE"""),"Pengaruh Brand Awareness, Brand Exposure Dan Electronic Word Of Mouth Terhadap Keputusan Pembelian (Studi Kasus Pada Pengguna Produk The Body Shop Di Surakarta)")</f>
        <v>Pengaruh Brand Awareness, Brand Exposure Dan Electronic Word Of Mouth Terhadap Keputusan Pembelian (Studi Kasus Pada Pengguna Produk The Body Shop Di Surakarta)</v>
      </c>
      <c r="C562" s="7">
        <f>IFERROR(__xludf.DUMMYFUNCTION("""COMPUTED_VALUE"""),2023.0)</f>
        <v>2023</v>
      </c>
      <c r="D562" s="8" t="str">
        <f>IFERROR(__xludf.DUMMYFUNCTION("""COMPUTED_VALUE"""),"2022/2023")</f>
        <v>2022/2023</v>
      </c>
      <c r="E562" s="9">
        <f>IFERROR(__xludf.DUMMYFUNCTION("""COMPUTED_VALUE"""),45058.0)</f>
        <v>45058</v>
      </c>
      <c r="F562" s="5" t="str">
        <f>IFERROR(__xludf.DUMMYFUNCTION("""COMPUTED_VALUE"""),"Genap")</f>
        <v>Genap</v>
      </c>
      <c r="G562" s="5" t="str">
        <f>IFERROR(__xludf.DUMMYFUNCTION("""COMPUTED_VALUE"""),"Manajemen")</f>
        <v>Manajemen</v>
      </c>
      <c r="H562" s="10" t="str">
        <f>IFERROR(__xludf.DUMMYFUNCTION("""COMPUTED_VALUE"""),"Mahasiswa")</f>
        <v>Mahasiswa</v>
      </c>
      <c r="I562" s="6" t="str">
        <f>IFERROR(__xludf.DUMMYFUNCTION("""COMPUTED_VALUE"""),"Pratiwi Kurniawati")</f>
        <v>Pratiwi Kurniawati</v>
      </c>
      <c r="J562" s="6" t="str">
        <f>IFERROR(__xludf.DUMMYFUNCTION("""COMPUTED_VALUE"""),"Ari Susanti")</f>
        <v>Ari Susanti</v>
      </c>
      <c r="K562" s="6"/>
      <c r="L562" s="6"/>
      <c r="M562" s="6"/>
      <c r="N562" s="6"/>
      <c r="O562" s="6"/>
      <c r="P562" s="10" t="str">
        <f>IFERROR(__xludf.DUMMYFUNCTION("""COMPUTED_VALUE"""),"Pratiwi Kurniawati,Ari Susanti,,")</f>
        <v>Pratiwi Kurniawati,Ari Susanti,,</v>
      </c>
      <c r="Q562" s="11" t="str">
        <f>IFERROR(__xludf.DUMMYFUNCTION("""COMPUTED_VALUE"""),"https://www.usahid.ac.id/conference/index.php/snpk/article/view/138")</f>
        <v>https://www.usahid.ac.id/conference/index.php/snpk/article/view/138</v>
      </c>
      <c r="R562" s="6"/>
    </row>
    <row r="563">
      <c r="A563" s="5">
        <f>IFERROR(__xludf.DUMMYFUNCTION("""COMPUTED_VALUE"""),562.0)</f>
        <v>562</v>
      </c>
      <c r="B563" s="6" t="str">
        <f>IFERROR(__xludf.DUMMYFUNCTION("""COMPUTED_VALUE"""),"Pengaruh Financial Literacy, Lifestyle, Dan Self Control Terhadap Perilaku Konsumtif Pengguna Layanan Gopay Di Surakarta")</f>
        <v>Pengaruh Financial Literacy, Lifestyle, Dan Self Control Terhadap Perilaku Konsumtif Pengguna Layanan Gopay Di Surakarta</v>
      </c>
      <c r="C563" s="7">
        <f>IFERROR(__xludf.DUMMYFUNCTION("""COMPUTED_VALUE"""),2023.0)</f>
        <v>2023</v>
      </c>
      <c r="D563" s="8" t="str">
        <f>IFERROR(__xludf.DUMMYFUNCTION("""COMPUTED_VALUE"""),"2022/2023")</f>
        <v>2022/2023</v>
      </c>
      <c r="E563" s="9">
        <f>IFERROR(__xludf.DUMMYFUNCTION("""COMPUTED_VALUE"""),45058.0)</f>
        <v>45058</v>
      </c>
      <c r="F563" s="5" t="str">
        <f>IFERROR(__xludf.DUMMYFUNCTION("""COMPUTED_VALUE"""),"Genap")</f>
        <v>Genap</v>
      </c>
      <c r="G563" s="5" t="str">
        <f>IFERROR(__xludf.DUMMYFUNCTION("""COMPUTED_VALUE"""),"Akuntansi")</f>
        <v>Akuntansi</v>
      </c>
      <c r="H563" s="10" t="str">
        <f>IFERROR(__xludf.DUMMYFUNCTION("""COMPUTED_VALUE"""),"Mahasiswa")</f>
        <v>Mahasiswa</v>
      </c>
      <c r="I563" s="6" t="str">
        <f>IFERROR(__xludf.DUMMYFUNCTION("""COMPUTED_VALUE"""),"Wahyu Tri Utami")</f>
        <v>Wahyu Tri Utami</v>
      </c>
      <c r="J563" s="6" t="str">
        <f>IFERROR(__xludf.DUMMYFUNCTION("""COMPUTED_VALUE"""),"Tri Ratna Pamikatsih")</f>
        <v>Tri Ratna Pamikatsih</v>
      </c>
      <c r="K563" s="6"/>
      <c r="L563" s="6"/>
      <c r="M563" s="6"/>
      <c r="N563" s="6"/>
      <c r="O563" s="6"/>
      <c r="P563" s="10" t="str">
        <f>IFERROR(__xludf.DUMMYFUNCTION("""COMPUTED_VALUE"""),"Wahyu Tri Utami,Tri Ratna Pamikatsih,,")</f>
        <v>Wahyu Tri Utami,Tri Ratna Pamikatsih,,</v>
      </c>
      <c r="Q563" s="11" t="str">
        <f>IFERROR(__xludf.DUMMYFUNCTION("""COMPUTED_VALUE"""),"https://www.usahid.ac.id/conference/index.php/snpk/article/view/140")</f>
        <v>https://www.usahid.ac.id/conference/index.php/snpk/article/view/140</v>
      </c>
      <c r="R563" s="6"/>
    </row>
    <row r="564">
      <c r="A564" s="5">
        <f>IFERROR(__xludf.DUMMYFUNCTION("""COMPUTED_VALUE"""),563.0)</f>
        <v>563</v>
      </c>
      <c r="B564" s="6" t="str">
        <f>IFERROR(__xludf.DUMMYFUNCTION("""COMPUTED_VALUE"""),"Pengaruh Harga, Kualitas Produk, Dan Citra Merek Terhadap Minat Beli Iphone Di Solo Raya")</f>
        <v>Pengaruh Harga, Kualitas Produk, Dan Citra Merek Terhadap Minat Beli Iphone Di Solo Raya</v>
      </c>
      <c r="C564" s="7">
        <f>IFERROR(__xludf.DUMMYFUNCTION("""COMPUTED_VALUE"""),2023.0)</f>
        <v>2023</v>
      </c>
      <c r="D564" s="8" t="str">
        <f>IFERROR(__xludf.DUMMYFUNCTION("""COMPUTED_VALUE"""),"2022/2023")</f>
        <v>2022/2023</v>
      </c>
      <c r="E564" s="9">
        <f>IFERROR(__xludf.DUMMYFUNCTION("""COMPUTED_VALUE"""),45058.0)</f>
        <v>45058</v>
      </c>
      <c r="F564" s="5" t="str">
        <f>IFERROR(__xludf.DUMMYFUNCTION("""COMPUTED_VALUE"""),"Genap")</f>
        <v>Genap</v>
      </c>
      <c r="G564" s="5" t="str">
        <f>IFERROR(__xludf.DUMMYFUNCTION("""COMPUTED_VALUE"""),"Akuntansi")</f>
        <v>Akuntansi</v>
      </c>
      <c r="H564" s="10" t="str">
        <f>IFERROR(__xludf.DUMMYFUNCTION("""COMPUTED_VALUE"""),"Mahasiswa")</f>
        <v>Mahasiswa</v>
      </c>
      <c r="I564" s="6" t="str">
        <f>IFERROR(__xludf.DUMMYFUNCTION("""COMPUTED_VALUE"""),"Nia Yuliana")</f>
        <v>Nia Yuliana</v>
      </c>
      <c r="J564" s="6" t="str">
        <f>IFERROR(__xludf.DUMMYFUNCTION("""COMPUTED_VALUE"""),"Tri Ratna Pamikatsih")</f>
        <v>Tri Ratna Pamikatsih</v>
      </c>
      <c r="K564" s="6"/>
      <c r="L564" s="6"/>
      <c r="M564" s="6"/>
      <c r="N564" s="6"/>
      <c r="O564" s="6"/>
      <c r="P564" s="10" t="str">
        <f>IFERROR(__xludf.DUMMYFUNCTION("""COMPUTED_VALUE"""),"Nia Yuliana,Tri Ratna Pamikatsih,,")</f>
        <v>Nia Yuliana,Tri Ratna Pamikatsih,,</v>
      </c>
      <c r="Q564" s="11" t="str">
        <f>IFERROR(__xludf.DUMMYFUNCTION("""COMPUTED_VALUE"""),"https://www.usahid.ac.id/conference/index.php/snpk/article/view/137")</f>
        <v>https://www.usahid.ac.id/conference/index.php/snpk/article/view/137</v>
      </c>
      <c r="R564" s="6"/>
    </row>
    <row r="565">
      <c r="A565" s="5">
        <f>IFERROR(__xludf.DUMMYFUNCTION("""COMPUTED_VALUE"""),564.0)</f>
        <v>564</v>
      </c>
      <c r="B565" s="6" t="str">
        <f>IFERROR(__xludf.DUMMYFUNCTION("""COMPUTED_VALUE"""),"Pengaruh Promosi, Lokasi, Ulasan Produk, Dan Kemudahan Penggunan Aplikasi Terhadap Minat Beli Ulang Di Shopeefood")</f>
        <v>Pengaruh Promosi, Lokasi, Ulasan Produk, Dan Kemudahan Penggunan Aplikasi Terhadap Minat Beli Ulang Di Shopeefood</v>
      </c>
      <c r="C565" s="7">
        <f>IFERROR(__xludf.DUMMYFUNCTION("""COMPUTED_VALUE"""),2023.0)</f>
        <v>2023</v>
      </c>
      <c r="D565" s="8" t="str">
        <f>IFERROR(__xludf.DUMMYFUNCTION("""COMPUTED_VALUE"""),"2022/2023")</f>
        <v>2022/2023</v>
      </c>
      <c r="E565" s="9">
        <f>IFERROR(__xludf.DUMMYFUNCTION("""COMPUTED_VALUE"""),45058.0)</f>
        <v>45058</v>
      </c>
      <c r="F565" s="5" t="str">
        <f>IFERROR(__xludf.DUMMYFUNCTION("""COMPUTED_VALUE"""),"Genap")</f>
        <v>Genap</v>
      </c>
      <c r="G565" s="5" t="str">
        <f>IFERROR(__xludf.DUMMYFUNCTION("""COMPUTED_VALUE"""),"Manajemen")</f>
        <v>Manajemen</v>
      </c>
      <c r="H565" s="10" t="str">
        <f>IFERROR(__xludf.DUMMYFUNCTION("""COMPUTED_VALUE"""),"Mahasiswa")</f>
        <v>Mahasiswa</v>
      </c>
      <c r="I565" s="6" t="str">
        <f>IFERROR(__xludf.DUMMYFUNCTION("""COMPUTED_VALUE"""),"Dimas Kurniawan Putra")</f>
        <v>Dimas Kurniawan Putra</v>
      </c>
      <c r="J565" s="6" t="str">
        <f>IFERROR(__xludf.DUMMYFUNCTION("""COMPUTED_VALUE"""),"Atik Lusia")</f>
        <v>Atik Lusia</v>
      </c>
      <c r="K565" s="6"/>
      <c r="L565" s="6"/>
      <c r="M565" s="6"/>
      <c r="N565" s="6"/>
      <c r="O565" s="6"/>
      <c r="P565" s="10" t="str">
        <f>IFERROR(__xludf.DUMMYFUNCTION("""COMPUTED_VALUE"""),"Dimas Kurniawan Putra,Atik Lusia,,")</f>
        <v>Dimas Kurniawan Putra,Atik Lusia,,</v>
      </c>
      <c r="Q565" s="11" t="str">
        <f>IFERROR(__xludf.DUMMYFUNCTION("""COMPUTED_VALUE"""),"https://www.usahid.ac.id/conference/index.php/snpk/article/view/143")</f>
        <v>https://www.usahid.ac.id/conference/index.php/snpk/article/view/143</v>
      </c>
      <c r="R565" s="6"/>
    </row>
    <row r="566">
      <c r="A566" s="5">
        <f>IFERROR(__xludf.DUMMYFUNCTION("""COMPUTED_VALUE"""),565.0)</f>
        <v>565</v>
      </c>
      <c r="B566" s="6" t="str">
        <f>IFERROR(__xludf.DUMMYFUNCTION("""COMPUTED_VALUE"""),"Pengaruh Kompensasi, Beban Kerja Dan Lingkungan Kerja Terhadap Kepuasan Kerja Bagi Pekerja Umkm Surakarta")</f>
        <v>Pengaruh Kompensasi, Beban Kerja Dan Lingkungan Kerja Terhadap Kepuasan Kerja Bagi Pekerja Umkm Surakarta</v>
      </c>
      <c r="C566" s="7">
        <f>IFERROR(__xludf.DUMMYFUNCTION("""COMPUTED_VALUE"""),2023.0)</f>
        <v>2023</v>
      </c>
      <c r="D566" s="8" t="str">
        <f>IFERROR(__xludf.DUMMYFUNCTION("""COMPUTED_VALUE"""),"2022/2023")</f>
        <v>2022/2023</v>
      </c>
      <c r="E566" s="9">
        <f>IFERROR(__xludf.DUMMYFUNCTION("""COMPUTED_VALUE"""),45058.0)</f>
        <v>45058</v>
      </c>
      <c r="F566" s="5" t="str">
        <f>IFERROR(__xludf.DUMMYFUNCTION("""COMPUTED_VALUE"""),"Genap")</f>
        <v>Genap</v>
      </c>
      <c r="G566" s="5" t="str">
        <f>IFERROR(__xludf.DUMMYFUNCTION("""COMPUTED_VALUE"""),"Manajemen")</f>
        <v>Manajemen</v>
      </c>
      <c r="H566" s="10" t="str">
        <f>IFERROR(__xludf.DUMMYFUNCTION("""COMPUTED_VALUE"""),"Mahasiswa")</f>
        <v>Mahasiswa</v>
      </c>
      <c r="I566" s="6" t="str">
        <f>IFERROR(__xludf.DUMMYFUNCTION("""COMPUTED_VALUE"""),"Dhedy Ahmed")</f>
        <v>Dhedy Ahmed</v>
      </c>
      <c r="J566" s="6" t="str">
        <f>IFERROR(__xludf.DUMMYFUNCTION("""COMPUTED_VALUE"""),"Putri Maisara")</f>
        <v>Putri Maisara</v>
      </c>
      <c r="K566" s="6"/>
      <c r="L566" s="6"/>
      <c r="M566" s="6"/>
      <c r="N566" s="6"/>
      <c r="O566" s="6"/>
      <c r="P566" s="10" t="str">
        <f>IFERROR(__xludf.DUMMYFUNCTION("""COMPUTED_VALUE"""),"Dhedy Ahmed,Putri Maisara,,")</f>
        <v>Dhedy Ahmed,Putri Maisara,,</v>
      </c>
      <c r="Q566" s="11" t="str">
        <f>IFERROR(__xludf.DUMMYFUNCTION("""COMPUTED_VALUE"""),"https://www.usahid.ac.id/conference/index.php/snpk/article/view/165")</f>
        <v>https://www.usahid.ac.id/conference/index.php/snpk/article/view/165</v>
      </c>
      <c r="R566" s="6"/>
    </row>
    <row r="567">
      <c r="A567" s="5">
        <f>IFERROR(__xludf.DUMMYFUNCTION("""COMPUTED_VALUE"""),566.0)</f>
        <v>566</v>
      </c>
      <c r="B567" s="6" t="str">
        <f>IFERROR(__xludf.DUMMYFUNCTION("""COMPUTED_VALUE"""),"Pengaruh Brand Image, Harga, Kualitas Produk, dan Content Marketing terhadap Keputusan Pembelian Barang Thrift melalui Instagram di Solo Raya")</f>
        <v>Pengaruh Brand Image, Harga, Kualitas Produk, dan Content Marketing terhadap Keputusan Pembelian Barang Thrift melalui Instagram di Solo Raya</v>
      </c>
      <c r="C567" s="7">
        <f>IFERROR(__xludf.DUMMYFUNCTION("""COMPUTED_VALUE"""),2023.0)</f>
        <v>2023</v>
      </c>
      <c r="D567" s="8" t="str">
        <f>IFERROR(__xludf.DUMMYFUNCTION("""COMPUTED_VALUE"""),"2022/2023")</f>
        <v>2022/2023</v>
      </c>
      <c r="E567" s="9">
        <f>IFERROR(__xludf.DUMMYFUNCTION("""COMPUTED_VALUE"""),45061.0)</f>
        <v>45061</v>
      </c>
      <c r="F567" s="5" t="str">
        <f>IFERROR(__xludf.DUMMYFUNCTION("""COMPUTED_VALUE"""),"Genap")</f>
        <v>Genap</v>
      </c>
      <c r="G567" s="5" t="str">
        <f>IFERROR(__xludf.DUMMYFUNCTION("""COMPUTED_VALUE"""),"Manajemen")</f>
        <v>Manajemen</v>
      </c>
      <c r="H567" s="10" t="str">
        <f>IFERROR(__xludf.DUMMYFUNCTION("""COMPUTED_VALUE"""),"Mahasiswa")</f>
        <v>Mahasiswa</v>
      </c>
      <c r="I567" s="6" t="str">
        <f>IFERROR(__xludf.DUMMYFUNCTION("""COMPUTED_VALUE"""),"Putri Adilla")</f>
        <v>Putri Adilla</v>
      </c>
      <c r="J567" s="6" t="str">
        <f>IFERROR(__xludf.DUMMYFUNCTION("""COMPUTED_VALUE"""),"Christiawan Hendratmoko")</f>
        <v>Christiawan Hendratmoko</v>
      </c>
      <c r="K567" s="6"/>
      <c r="L567" s="6"/>
      <c r="M567" s="6"/>
      <c r="N567" s="6"/>
      <c r="O567" s="6"/>
      <c r="P567" s="10" t="str">
        <f>IFERROR(__xludf.DUMMYFUNCTION("""COMPUTED_VALUE"""),"Putri Adilla,Christiawan Hendratmoko,,")</f>
        <v>Putri Adilla,Christiawan Hendratmoko,,</v>
      </c>
      <c r="Q567" s="11" t="str">
        <f>IFERROR(__xludf.DUMMYFUNCTION("""COMPUTED_VALUE"""),"https://usahid.ac.id/conference/index.php/snpk/article/view/152")</f>
        <v>https://usahid.ac.id/conference/index.php/snpk/article/view/152</v>
      </c>
      <c r="R567" s="6"/>
    </row>
    <row r="568">
      <c r="A568" s="5">
        <f>IFERROR(__xludf.DUMMYFUNCTION("""COMPUTED_VALUE"""),567.0)</f>
        <v>567</v>
      </c>
      <c r="B568" s="6" t="str">
        <f>IFERROR(__xludf.DUMMYFUNCTION("""COMPUTED_VALUE"""),"Pengaruh Daya Tarik Wisata, Aksesibilitas, Fasilitas, Dan Word Of Mouth Terhadap Keputusan Berkunjung Wisatawan Di Umbul Ponggok")</f>
        <v>Pengaruh Daya Tarik Wisata, Aksesibilitas, Fasilitas, Dan Word Of Mouth Terhadap Keputusan Berkunjung Wisatawan Di Umbul Ponggok</v>
      </c>
      <c r="C568" s="7">
        <f>IFERROR(__xludf.DUMMYFUNCTION("""COMPUTED_VALUE"""),2023.0)</f>
        <v>2023</v>
      </c>
      <c r="D568" s="8" t="str">
        <f>IFERROR(__xludf.DUMMYFUNCTION("""COMPUTED_VALUE"""),"2022/2023")</f>
        <v>2022/2023</v>
      </c>
      <c r="E568" s="9">
        <f>IFERROR(__xludf.DUMMYFUNCTION("""COMPUTED_VALUE"""),45070.0)</f>
        <v>45070</v>
      </c>
      <c r="F568" s="5" t="str">
        <f>IFERROR(__xludf.DUMMYFUNCTION("""COMPUTED_VALUE"""),"Genap")</f>
        <v>Genap</v>
      </c>
      <c r="G568" s="5" t="str">
        <f>IFERROR(__xludf.DUMMYFUNCTION("""COMPUTED_VALUE"""),"Manajemen")</f>
        <v>Manajemen</v>
      </c>
      <c r="H568" s="10" t="str">
        <f>IFERROR(__xludf.DUMMYFUNCTION("""COMPUTED_VALUE"""),"Mahasiswa")</f>
        <v>Mahasiswa</v>
      </c>
      <c r="I568" s="6" t="str">
        <f>IFERROR(__xludf.DUMMYFUNCTION("""COMPUTED_VALUE"""),"Umi Nurchomariyah")</f>
        <v>Umi Nurchomariyah</v>
      </c>
      <c r="J568" s="6" t="str">
        <f>IFERROR(__xludf.DUMMYFUNCTION("""COMPUTED_VALUE"""),"Aditya Liliyan")</f>
        <v>Aditya Liliyan</v>
      </c>
      <c r="K568" s="6"/>
      <c r="L568" s="6"/>
      <c r="M568" s="6"/>
      <c r="N568" s="6"/>
      <c r="O568" s="6"/>
      <c r="P568" s="10" t="str">
        <f>IFERROR(__xludf.DUMMYFUNCTION("""COMPUTED_VALUE"""),"Umi Nurchomariyah,Aditya Liliyan,,")</f>
        <v>Umi Nurchomariyah,Aditya Liliyan,,</v>
      </c>
      <c r="Q568" s="11" t="str">
        <f>IFERROR(__xludf.DUMMYFUNCTION("""COMPUTED_VALUE"""),"https://e-journal.naureendigition.com/index.php/pmb/article/view/375")</f>
        <v>https://e-journal.naureendigition.com/index.php/pmb/article/view/375</v>
      </c>
      <c r="R568" s="6"/>
    </row>
    <row r="569">
      <c r="A569" s="5">
        <f>IFERROR(__xludf.DUMMYFUNCTION("""COMPUTED_VALUE"""),568.0)</f>
        <v>568</v>
      </c>
      <c r="B569" s="6" t="str">
        <f>IFERROR(__xludf.DUMMYFUNCTION("""COMPUTED_VALUE"""),"The Pengaruh E-Service Quality, Online Customer Rating Dan Price Consciousness Terhadap Repurchase Intention Pada Pengguna Shopeefood Di Kota Surakarta")</f>
        <v>The Pengaruh E-Service Quality, Online Customer Rating Dan Price Consciousness Terhadap Repurchase Intention Pada Pengguna Shopeefood Di Kota Surakarta</v>
      </c>
      <c r="C569" s="7">
        <f>IFERROR(__xludf.DUMMYFUNCTION("""COMPUTED_VALUE"""),2023.0)</f>
        <v>2023</v>
      </c>
      <c r="D569" s="8" t="str">
        <f>IFERROR(__xludf.DUMMYFUNCTION("""COMPUTED_VALUE"""),"2022/2023")</f>
        <v>2022/2023</v>
      </c>
      <c r="E569" s="9">
        <f>IFERROR(__xludf.DUMMYFUNCTION("""COMPUTED_VALUE"""),45071.0)</f>
        <v>45071</v>
      </c>
      <c r="F569" s="5" t="str">
        <f>IFERROR(__xludf.DUMMYFUNCTION("""COMPUTED_VALUE"""),"Genap")</f>
        <v>Genap</v>
      </c>
      <c r="G569" s="5" t="str">
        <f>IFERROR(__xludf.DUMMYFUNCTION("""COMPUTED_VALUE"""),"Manajemen")</f>
        <v>Manajemen</v>
      </c>
      <c r="H569" s="10" t="str">
        <f>IFERROR(__xludf.DUMMYFUNCTION("""COMPUTED_VALUE"""),"Mahasiswa")</f>
        <v>Mahasiswa</v>
      </c>
      <c r="I569" s="6" t="str">
        <f>IFERROR(__xludf.DUMMYFUNCTION("""COMPUTED_VALUE"""),"Dini Muthi’ah Putri")</f>
        <v>Dini Muthi’ah Putri</v>
      </c>
      <c r="J569" s="6" t="str">
        <f>IFERROR(__xludf.DUMMYFUNCTION("""COMPUTED_VALUE"""),"Ari Susanti")</f>
        <v>Ari Susanti</v>
      </c>
      <c r="K569" s="6"/>
      <c r="L569" s="6"/>
      <c r="M569" s="6"/>
      <c r="N569" s="6"/>
      <c r="O569" s="6"/>
      <c r="P569" s="10" t="str">
        <f>IFERROR(__xludf.DUMMYFUNCTION("""COMPUTED_VALUE"""),"Dini Muthi’ah Putri,Ari Susanti,,")</f>
        <v>Dini Muthi’ah Putri,Ari Susanti,,</v>
      </c>
      <c r="Q569" s="11" t="str">
        <f>IFERROR(__xludf.DUMMYFUNCTION("""COMPUTED_VALUE"""),"https://jrie.feb.unpas.ac.id/index.php/jrie/article/view/45")</f>
        <v>https://jrie.feb.unpas.ac.id/index.php/jrie/article/view/45</v>
      </c>
      <c r="R569" s="6"/>
    </row>
    <row r="570">
      <c r="A570" s="5">
        <f>IFERROR(__xludf.DUMMYFUNCTION("""COMPUTED_VALUE"""),569.0)</f>
        <v>569</v>
      </c>
      <c r="B570" s="6" t="str">
        <f>IFERROR(__xludf.DUMMYFUNCTION("""COMPUTED_VALUE"""),"Faktor-Faktor Yang Mempengaruhi Kinerja Umkm Di Masa Pandemi Covid-19 Di Kecamatan Klego")</f>
        <v>Faktor-Faktor Yang Mempengaruhi Kinerja Umkm Di Masa Pandemi Covid-19 Di Kecamatan Klego</v>
      </c>
      <c r="C570" s="7">
        <f>IFERROR(__xludf.DUMMYFUNCTION("""COMPUTED_VALUE"""),2023.0)</f>
        <v>2023</v>
      </c>
      <c r="D570" s="8" t="str">
        <f>IFERROR(__xludf.DUMMYFUNCTION("""COMPUTED_VALUE"""),"2022/2023")</f>
        <v>2022/2023</v>
      </c>
      <c r="E570" s="9">
        <f>IFERROR(__xludf.DUMMYFUNCTION("""COMPUTED_VALUE"""),45072.0)</f>
        <v>45072</v>
      </c>
      <c r="F570" s="5" t="str">
        <f>IFERROR(__xludf.DUMMYFUNCTION("""COMPUTED_VALUE"""),"Genap")</f>
        <v>Genap</v>
      </c>
      <c r="G570" s="5" t="str">
        <f>IFERROR(__xludf.DUMMYFUNCTION("""COMPUTED_VALUE"""),"Akuntansi")</f>
        <v>Akuntansi</v>
      </c>
      <c r="H570" s="10" t="str">
        <f>IFERROR(__xludf.DUMMYFUNCTION("""COMPUTED_VALUE"""),"Mahasiswa")</f>
        <v>Mahasiswa</v>
      </c>
      <c r="I570" s="6" t="str">
        <f>IFERROR(__xludf.DUMMYFUNCTION("""COMPUTED_VALUE"""),"Hesti Lestari")</f>
        <v>Hesti Lestari</v>
      </c>
      <c r="J570" s="6" t="str">
        <f>IFERROR(__xludf.DUMMYFUNCTION("""COMPUTED_VALUE"""),"Astuning Saharsini")</f>
        <v>Astuning Saharsini</v>
      </c>
      <c r="K570" s="6"/>
      <c r="L570" s="6"/>
      <c r="M570" s="6"/>
      <c r="N570" s="6"/>
      <c r="O570" s="6"/>
      <c r="P570" s="10" t="str">
        <f>IFERROR(__xludf.DUMMYFUNCTION("""COMPUTED_VALUE"""),"Hesti Lestari,Astuning Saharsini,,")</f>
        <v>Hesti Lestari,Astuning Saharsini,,</v>
      </c>
      <c r="Q570" s="11" t="str">
        <f>IFERROR(__xludf.DUMMYFUNCTION("""COMPUTED_VALUE"""),"https://bajangjournal.com/index.php/JEMBA/article/view/5684")</f>
        <v>https://bajangjournal.com/index.php/JEMBA/article/view/5684</v>
      </c>
      <c r="R570" s="6"/>
    </row>
    <row r="571">
      <c r="A571" s="5">
        <f>IFERROR(__xludf.DUMMYFUNCTION("""COMPUTED_VALUE"""),570.0)</f>
        <v>570</v>
      </c>
      <c r="B571" s="6" t="str">
        <f>IFERROR(__xludf.DUMMYFUNCTION("""COMPUTED_VALUE"""),"Optimalisasi Potensi Tanaman Hias Lokal Sebagai Peluang Usaha Yang Berkelanjutan Di Klaten")</f>
        <v>Optimalisasi Potensi Tanaman Hias Lokal Sebagai Peluang Usaha Yang Berkelanjutan Di Klaten</v>
      </c>
      <c r="C571" s="7">
        <f>IFERROR(__xludf.DUMMYFUNCTION("""COMPUTED_VALUE"""),2023.0)</f>
        <v>2023</v>
      </c>
      <c r="D571" s="8" t="str">
        <f>IFERROR(__xludf.DUMMYFUNCTION("""COMPUTED_VALUE"""),"2022/2023")</f>
        <v>2022/2023</v>
      </c>
      <c r="E571" s="9">
        <f>IFERROR(__xludf.DUMMYFUNCTION("""COMPUTED_VALUE"""),45076.0)</f>
        <v>45076</v>
      </c>
      <c r="F571" s="5" t="str">
        <f>IFERROR(__xludf.DUMMYFUNCTION("""COMPUTED_VALUE"""),"Genap")</f>
        <v>Genap</v>
      </c>
      <c r="G571" s="5" t="str">
        <f>IFERROR(__xludf.DUMMYFUNCTION("""COMPUTED_VALUE"""),"Akuntansi")</f>
        <v>Akuntansi</v>
      </c>
      <c r="H571" s="10" t="str">
        <f>IFERROR(__xludf.DUMMYFUNCTION("""COMPUTED_VALUE"""),"Dosen")</f>
        <v>Dosen</v>
      </c>
      <c r="I571" s="6" t="str">
        <f>IFERROR(__xludf.DUMMYFUNCTION("""COMPUTED_VALUE"""),"Heri Susanto")</f>
        <v>Heri Susanto</v>
      </c>
      <c r="J571" s="6" t="str">
        <f>IFERROR(__xludf.DUMMYFUNCTION("""COMPUTED_VALUE"""),"Rosita")</f>
        <v>Rosita</v>
      </c>
      <c r="K571" s="6" t="str">
        <f>IFERROR(__xludf.DUMMYFUNCTION("""COMPUTED_VALUE"""),"Ida Ayu ")</f>
        <v>Ida Ayu </v>
      </c>
      <c r="L571" s="6" t="str">
        <f>IFERROR(__xludf.DUMMYFUNCTION("""COMPUTED_VALUE"""),"Amy Wulandari")</f>
        <v>Amy Wulandari</v>
      </c>
      <c r="M571" s="6"/>
      <c r="N571" s="6"/>
      <c r="O571" s="6"/>
      <c r="P571" s="10" t="str">
        <f>IFERROR(__xludf.DUMMYFUNCTION("""COMPUTED_VALUE"""),"Heri Susanto,Rosita,Ida Ayu ,Amy Wulandari")</f>
        <v>Heri Susanto,Rosita,Ida Ayu ,Amy Wulandari</v>
      </c>
      <c r="Q571" s="11" t="str">
        <f>IFERROR(__xludf.DUMMYFUNCTION("""COMPUTED_VALUE"""),"https://ejournal.lppm-stieatmabhakti.id/index.php/JANAKA/article/view/315")</f>
        <v>https://ejournal.lppm-stieatmabhakti.id/index.php/JANAKA/article/view/315</v>
      </c>
      <c r="R571" s="6"/>
    </row>
    <row r="572">
      <c r="A572" s="5">
        <f>IFERROR(__xludf.DUMMYFUNCTION("""COMPUTED_VALUE"""),571.0)</f>
        <v>571</v>
      </c>
      <c r="B572" s="6" t="str">
        <f>IFERROR(__xludf.DUMMYFUNCTION("""COMPUTED_VALUE"""),"Pendampingan Pengembangan Aplikasi Sistem Informasi Transaksi Dan Persediaan Barang Dagangan Pada Toko-Toko Di Beteng Trade Centre Surakarta")</f>
        <v>Pendampingan Pengembangan Aplikasi Sistem Informasi Transaksi Dan Persediaan Barang Dagangan Pada Toko-Toko Di Beteng Trade Centre Surakarta</v>
      </c>
      <c r="C572" s="7">
        <f>IFERROR(__xludf.DUMMYFUNCTION("""COMPUTED_VALUE"""),2023.0)</f>
        <v>2023</v>
      </c>
      <c r="D572" s="8" t="str">
        <f>IFERROR(__xludf.DUMMYFUNCTION("""COMPUTED_VALUE"""),"2022/2023")</f>
        <v>2022/2023</v>
      </c>
      <c r="E572" s="9">
        <f>IFERROR(__xludf.DUMMYFUNCTION("""COMPUTED_VALUE"""),45076.0)</f>
        <v>45076</v>
      </c>
      <c r="F572" s="5" t="str">
        <f>IFERROR(__xludf.DUMMYFUNCTION("""COMPUTED_VALUE"""),"Genap")</f>
        <v>Genap</v>
      </c>
      <c r="G572" s="5" t="str">
        <f>IFERROR(__xludf.DUMMYFUNCTION("""COMPUTED_VALUE"""),"Manajemen")</f>
        <v>Manajemen</v>
      </c>
      <c r="H572" s="10" t="str">
        <f>IFERROR(__xludf.DUMMYFUNCTION("""COMPUTED_VALUE"""),"Dosen")</f>
        <v>Dosen</v>
      </c>
      <c r="I572" s="6" t="str">
        <f>IFERROR(__xludf.DUMMYFUNCTION("""COMPUTED_VALUE"""),"Andri Nurtantiono")</f>
        <v>Andri Nurtantiono</v>
      </c>
      <c r="J572" s="6" t="str">
        <f>IFERROR(__xludf.DUMMYFUNCTION("""COMPUTED_VALUE"""),"Heny Kurnia")</f>
        <v>Heny Kurnia</v>
      </c>
      <c r="K572" s="6" t="str">
        <f>IFERROR(__xludf.DUMMYFUNCTION("""COMPUTED_VALUE"""),"Christiawan Hendratmoko")</f>
        <v>Christiawan Hendratmoko</v>
      </c>
      <c r="L572" s="6" t="str">
        <f>IFERROR(__xludf.DUMMYFUNCTION("""COMPUTED_VALUE"""),"Azizah Nur Atikoh")</f>
        <v>Azizah Nur Atikoh</v>
      </c>
      <c r="M572" s="6" t="str">
        <f>IFERROR(__xludf.DUMMYFUNCTION("""COMPUTED_VALUE"""),"Laely Nurjannah")</f>
        <v>Laely Nurjannah</v>
      </c>
      <c r="N572" s="6"/>
      <c r="O572" s="6"/>
      <c r="P572" s="10" t="str">
        <f>IFERROR(__xludf.DUMMYFUNCTION("""COMPUTED_VALUE"""),"Andri Nurtantiono,Heny Kurnia,Christiawan Hendratmoko,Azizah Nur Atikoh")</f>
        <v>Andri Nurtantiono,Heny Kurnia,Christiawan Hendratmoko,Azizah Nur Atikoh</v>
      </c>
      <c r="Q572" s="11" t="str">
        <f>IFERROR(__xludf.DUMMYFUNCTION("""COMPUTED_VALUE"""),"https://ekalaya.nindikayla.com/index.php/home/article/view/69")</f>
        <v>https://ekalaya.nindikayla.com/index.php/home/article/view/69</v>
      </c>
      <c r="R572" s="6"/>
    </row>
    <row r="573">
      <c r="A573" s="5">
        <f>IFERROR(__xludf.DUMMYFUNCTION("""COMPUTED_VALUE"""),572.0)</f>
        <v>572</v>
      </c>
      <c r="B573" s="6" t="str">
        <f>IFERROR(__xludf.DUMMYFUNCTION("""COMPUTED_VALUE"""),"Pengaruh Lingkungan, Budaya, Dan Pengalaman Kerja Terhadap Produktivitas Kerja Karyawan Di Pt Tiga Serangkai")</f>
        <v>Pengaruh Lingkungan, Budaya, Dan Pengalaman Kerja Terhadap Produktivitas Kerja Karyawan Di Pt Tiga Serangkai</v>
      </c>
      <c r="C573" s="7">
        <f>IFERROR(__xludf.DUMMYFUNCTION("""COMPUTED_VALUE"""),2023.0)</f>
        <v>2023</v>
      </c>
      <c r="D573" s="8" t="str">
        <f>IFERROR(__xludf.DUMMYFUNCTION("""COMPUTED_VALUE"""),"2022/2023")</f>
        <v>2022/2023</v>
      </c>
      <c r="E573" s="9">
        <f>IFERROR(__xludf.DUMMYFUNCTION("""COMPUTED_VALUE"""),45077.0)</f>
        <v>45077</v>
      </c>
      <c r="F573" s="5" t="str">
        <f>IFERROR(__xludf.DUMMYFUNCTION("""COMPUTED_VALUE"""),"Genap")</f>
        <v>Genap</v>
      </c>
      <c r="G573" s="5" t="str">
        <f>IFERROR(__xludf.DUMMYFUNCTION("""COMPUTED_VALUE"""),"Manajemen")</f>
        <v>Manajemen</v>
      </c>
      <c r="H573" s="10" t="str">
        <f>IFERROR(__xludf.DUMMYFUNCTION("""COMPUTED_VALUE"""),"Mahasiswa")</f>
        <v>Mahasiswa</v>
      </c>
      <c r="I573" s="6" t="str">
        <f>IFERROR(__xludf.DUMMYFUNCTION("""COMPUTED_VALUE"""),"Ayu Rizka Lesmana")</f>
        <v>Ayu Rizka Lesmana</v>
      </c>
      <c r="J573" s="6" t="str">
        <f>IFERROR(__xludf.DUMMYFUNCTION("""COMPUTED_VALUE"""),"Ida Ayu kade")</f>
        <v>Ida Ayu kade</v>
      </c>
      <c r="K573" s="6"/>
      <c r="L573" s="6"/>
      <c r="M573" s="6"/>
      <c r="N573" s="6"/>
      <c r="O573" s="6"/>
      <c r="P573" s="10" t="str">
        <f>IFERROR(__xludf.DUMMYFUNCTION("""COMPUTED_VALUE"""),"Ayu Rizka Lesmana,Ida Ayu kade,,")</f>
        <v>Ayu Rizka Lesmana,Ida Ayu kade,,</v>
      </c>
      <c r="Q573" s="11" t="str">
        <f>IFERROR(__xludf.DUMMYFUNCTION("""COMPUTED_VALUE"""),"https://jurnaluniv45sby.ac.id/index.php/Inisiatif/article/view/1110/948")</f>
        <v>https://jurnaluniv45sby.ac.id/index.php/Inisiatif/article/view/1110/948</v>
      </c>
      <c r="R573" s="6"/>
    </row>
    <row r="574">
      <c r="A574" s="5">
        <f>IFERROR(__xludf.DUMMYFUNCTION("""COMPUTED_VALUE"""),573.0)</f>
        <v>573</v>
      </c>
      <c r="B574" s="6" t="str">
        <f>IFERROR(__xludf.DUMMYFUNCTION("""COMPUTED_VALUE"""),"Pengaruh Lifestyle, Fitur, Brand Image, Dan Kepercayaan Konsumen Terhadap Keputusan Membeli Smartphone Xiaomi Di Kota Surakarta")</f>
        <v>Pengaruh Lifestyle, Fitur, Brand Image, Dan Kepercayaan Konsumen Terhadap Keputusan Membeli Smartphone Xiaomi Di Kota Surakarta</v>
      </c>
      <c r="C574" s="7">
        <f>IFERROR(__xludf.DUMMYFUNCTION("""COMPUTED_VALUE"""),2023.0)</f>
        <v>2023</v>
      </c>
      <c r="D574" s="8" t="str">
        <f>IFERROR(__xludf.DUMMYFUNCTION("""COMPUTED_VALUE"""),"2022/2023")</f>
        <v>2022/2023</v>
      </c>
      <c r="E574" s="9">
        <f>IFERROR(__xludf.DUMMYFUNCTION("""COMPUTED_VALUE"""),45078.0)</f>
        <v>45078</v>
      </c>
      <c r="F574" s="5" t="str">
        <f>IFERROR(__xludf.DUMMYFUNCTION("""COMPUTED_VALUE"""),"Genap")</f>
        <v>Genap</v>
      </c>
      <c r="G574" s="5" t="str">
        <f>IFERROR(__xludf.DUMMYFUNCTION("""COMPUTED_VALUE"""),"Manajemen")</f>
        <v>Manajemen</v>
      </c>
      <c r="H574" s="10" t="str">
        <f>IFERROR(__xludf.DUMMYFUNCTION("""COMPUTED_VALUE"""),"Mahasiswa")</f>
        <v>Mahasiswa</v>
      </c>
      <c r="I574" s="6" t="str">
        <f>IFERROR(__xludf.DUMMYFUNCTION("""COMPUTED_VALUE"""),"Miftahun Nurjanah")</f>
        <v>Miftahun Nurjanah</v>
      </c>
      <c r="J574" s="6" t="str">
        <f>IFERROR(__xludf.DUMMYFUNCTION("""COMPUTED_VALUE"""),"Aditya Liliyan")</f>
        <v>Aditya Liliyan</v>
      </c>
      <c r="K574" s="6"/>
      <c r="L574" s="6"/>
      <c r="M574" s="6"/>
      <c r="N574" s="6"/>
      <c r="O574" s="6"/>
      <c r="P574" s="10" t="str">
        <f>IFERROR(__xludf.DUMMYFUNCTION("""COMPUTED_VALUE"""),"Miftahun Nurjanah,Aditya Liliyan,,")</f>
        <v>Miftahun Nurjanah,Aditya Liliyan,,</v>
      </c>
      <c r="Q574" s="11" t="str">
        <f>IFERROR(__xludf.DUMMYFUNCTION("""COMPUTED_VALUE"""),"https://jurnaluniv45sby.ac.id/index.php/Inisiatif/article/view/1123")</f>
        <v>https://jurnaluniv45sby.ac.id/index.php/Inisiatif/article/view/1123</v>
      </c>
      <c r="R574" s="6"/>
    </row>
    <row r="575">
      <c r="A575" s="5">
        <f>IFERROR(__xludf.DUMMYFUNCTION("""COMPUTED_VALUE"""),574.0)</f>
        <v>574</v>
      </c>
      <c r="B575" s="6" t="str">
        <f>IFERROR(__xludf.DUMMYFUNCTION("""COMPUTED_VALUE"""),"Analisis Faktor-Faktor Yang Mempengaruhi Penggunaan Informasi Akuntansi Pada Umkm Fashion Kota Surakarta")</f>
        <v>Analisis Faktor-Faktor Yang Mempengaruhi Penggunaan Informasi Akuntansi Pada Umkm Fashion Kota Surakarta</v>
      </c>
      <c r="C575" s="7">
        <f>IFERROR(__xludf.DUMMYFUNCTION("""COMPUTED_VALUE"""),2023.0)</f>
        <v>2023</v>
      </c>
      <c r="D575" s="8" t="str">
        <f>IFERROR(__xludf.DUMMYFUNCTION("""COMPUTED_VALUE"""),"2022/2023")</f>
        <v>2022/2023</v>
      </c>
      <c r="E575" s="9">
        <f>IFERROR(__xludf.DUMMYFUNCTION("""COMPUTED_VALUE"""),45078.0)</f>
        <v>45078</v>
      </c>
      <c r="F575" s="5" t="str">
        <f>IFERROR(__xludf.DUMMYFUNCTION("""COMPUTED_VALUE"""),"Genap")</f>
        <v>Genap</v>
      </c>
      <c r="G575" s="5" t="str">
        <f>IFERROR(__xludf.DUMMYFUNCTION("""COMPUTED_VALUE"""),"Akuntansi")</f>
        <v>Akuntansi</v>
      </c>
      <c r="H575" s="10" t="str">
        <f>IFERROR(__xludf.DUMMYFUNCTION("""COMPUTED_VALUE"""),"Mahasiswa")</f>
        <v>Mahasiswa</v>
      </c>
      <c r="I575" s="6" t="str">
        <f>IFERROR(__xludf.DUMMYFUNCTION("""COMPUTED_VALUE"""),"Tya Nurul Afifah")</f>
        <v>Tya Nurul Afifah</v>
      </c>
      <c r="J575" s="6" t="str">
        <f>IFERROR(__xludf.DUMMYFUNCTION("""COMPUTED_VALUE"""),"Astuning Saharsini")</f>
        <v>Astuning Saharsini</v>
      </c>
      <c r="K575" s="6"/>
      <c r="L575" s="6"/>
      <c r="M575" s="6"/>
      <c r="N575" s="6"/>
      <c r="O575" s="6"/>
      <c r="P575" s="10" t="str">
        <f>IFERROR(__xludf.DUMMYFUNCTION("""COMPUTED_VALUE"""),"Tya Nurul Afifah,Astuning Saharsini,,")</f>
        <v>Tya Nurul Afifah,Astuning Saharsini,,</v>
      </c>
      <c r="Q575" s="11" t="str">
        <f>IFERROR(__xludf.DUMMYFUNCTION("""COMPUTED_VALUE"""),"https://ejurnal.politeknikpratama.ac.id/index.php/jurima/article/view/2149/2139")</f>
        <v>https://ejurnal.politeknikpratama.ac.id/index.php/jurima/article/view/2149/2139</v>
      </c>
      <c r="R575" s="6"/>
    </row>
    <row r="576">
      <c r="A576" s="5">
        <f>IFERROR(__xludf.DUMMYFUNCTION("""COMPUTED_VALUE"""),575.0)</f>
        <v>575</v>
      </c>
      <c r="B576" s="6" t="str">
        <f>IFERROR(__xludf.DUMMYFUNCTION("""COMPUTED_VALUE"""),"Faktor Yang Mempengaruhi Audit Delay Pada Perusahaan Property Dan Real Estate 2019-2021")</f>
        <v>Faktor Yang Mempengaruhi Audit Delay Pada Perusahaan Property Dan Real Estate 2019-2021</v>
      </c>
      <c r="C576" s="7">
        <f>IFERROR(__xludf.DUMMYFUNCTION("""COMPUTED_VALUE"""),2023.0)</f>
        <v>2023</v>
      </c>
      <c r="D576" s="8" t="str">
        <f>IFERROR(__xludf.DUMMYFUNCTION("""COMPUTED_VALUE"""),"2022/2023")</f>
        <v>2022/2023</v>
      </c>
      <c r="E576" s="9">
        <f>IFERROR(__xludf.DUMMYFUNCTION("""COMPUTED_VALUE"""),45078.0)</f>
        <v>45078</v>
      </c>
      <c r="F576" s="5" t="str">
        <f>IFERROR(__xludf.DUMMYFUNCTION("""COMPUTED_VALUE"""),"Genap")</f>
        <v>Genap</v>
      </c>
      <c r="G576" s="5" t="str">
        <f>IFERROR(__xludf.DUMMYFUNCTION("""COMPUTED_VALUE"""),"Akuntansi")</f>
        <v>Akuntansi</v>
      </c>
      <c r="H576" s="10" t="str">
        <f>IFERROR(__xludf.DUMMYFUNCTION("""COMPUTED_VALUE"""),"Mahasiswa")</f>
        <v>Mahasiswa</v>
      </c>
      <c r="I576" s="6" t="str">
        <f>IFERROR(__xludf.DUMMYFUNCTION("""COMPUTED_VALUE"""),"Ragil Dewi Apriliyani")</f>
        <v>Ragil Dewi Apriliyani</v>
      </c>
      <c r="J576" s="6" t="str">
        <f>IFERROR(__xludf.DUMMYFUNCTION("""COMPUTED_VALUE"""),"Astuning Saharsini")</f>
        <v>Astuning Saharsini</v>
      </c>
      <c r="K576" s="6"/>
      <c r="L576" s="6"/>
      <c r="M576" s="6"/>
      <c r="N576" s="6"/>
      <c r="O576" s="6"/>
      <c r="P576" s="10" t="str">
        <f>IFERROR(__xludf.DUMMYFUNCTION("""COMPUTED_VALUE"""),"Ragil Dewi Apriliyani,Astuning Saharsini,,")</f>
        <v>Ragil Dewi Apriliyani,Astuning Saharsini,,</v>
      </c>
      <c r="Q576" s="11" t="str">
        <f>IFERROR(__xludf.DUMMYFUNCTION("""COMPUTED_VALUE"""),"https://ejurnal.politeknikpratama.ac.id/index.php/jurima/article/view/2171")</f>
        <v>https://ejurnal.politeknikpratama.ac.id/index.php/jurima/article/view/2171</v>
      </c>
      <c r="R576" s="6"/>
    </row>
    <row r="577">
      <c r="A577" s="5">
        <f>IFERROR(__xludf.DUMMYFUNCTION("""COMPUTED_VALUE"""),576.0)</f>
        <v>576</v>
      </c>
      <c r="B577" s="6" t="str">
        <f>IFERROR(__xludf.DUMMYFUNCTION("""COMPUTED_VALUE"""),"Pengaruh Kemudahan Data, Fitur Layanan Dan Kepercayaan Customer Terhadap Minat Penggunaan E-Wallet Pada Aplikasi Dana")</f>
        <v>Pengaruh Kemudahan Data, Fitur Layanan Dan Kepercayaan Customer Terhadap Minat Penggunaan E-Wallet Pada Aplikasi Dana</v>
      </c>
      <c r="C577" s="7">
        <f>IFERROR(__xludf.DUMMYFUNCTION("""COMPUTED_VALUE"""),2023.0)</f>
        <v>2023</v>
      </c>
      <c r="D577" s="8" t="str">
        <f>IFERROR(__xludf.DUMMYFUNCTION("""COMPUTED_VALUE"""),"2022/2023")</f>
        <v>2022/2023</v>
      </c>
      <c r="E577" s="9">
        <f>IFERROR(__xludf.DUMMYFUNCTION("""COMPUTED_VALUE"""),45079.0)</f>
        <v>45079</v>
      </c>
      <c r="F577" s="5" t="str">
        <f>IFERROR(__xludf.DUMMYFUNCTION("""COMPUTED_VALUE"""),"Genap")</f>
        <v>Genap</v>
      </c>
      <c r="G577" s="5" t="str">
        <f>IFERROR(__xludf.DUMMYFUNCTION("""COMPUTED_VALUE"""),"Akuntansi")</f>
        <v>Akuntansi</v>
      </c>
      <c r="H577" s="10" t="str">
        <f>IFERROR(__xludf.DUMMYFUNCTION("""COMPUTED_VALUE"""),"Mahasiswa")</f>
        <v>Mahasiswa</v>
      </c>
      <c r="I577" s="6" t="str">
        <f>IFERROR(__xludf.DUMMYFUNCTION("""COMPUTED_VALUE"""),"Moniq Angelia Cahya Kartika")</f>
        <v>Moniq Angelia Cahya Kartika</v>
      </c>
      <c r="J577" s="6" t="str">
        <f>IFERROR(__xludf.DUMMYFUNCTION("""COMPUTED_VALUE"""),"Tri Ratna Pamikatsih")</f>
        <v>Tri Ratna Pamikatsih</v>
      </c>
      <c r="K577" s="6"/>
      <c r="L577" s="6"/>
      <c r="M577" s="6"/>
      <c r="N577" s="6"/>
      <c r="O577" s="6"/>
      <c r="P577" s="10" t="str">
        <f>IFERROR(__xludf.DUMMYFUNCTION("""COMPUTED_VALUE"""),"Moniq Angelia Cahya Kartika,Tri Ratna Pamikatsih,,")</f>
        <v>Moniq Angelia Cahya Kartika,Tri Ratna Pamikatsih,,</v>
      </c>
      <c r="Q577" s="11" t="str">
        <f>IFERROR(__xludf.DUMMYFUNCTION("""COMPUTED_VALUE"""),"https://jurnal.aksaraglobal.co.id/index.php/jmsc/article/view/155")</f>
        <v>https://jurnal.aksaraglobal.co.id/index.php/jmsc/article/view/155</v>
      </c>
      <c r="R577" s="6"/>
    </row>
    <row r="578">
      <c r="A578" s="5">
        <f>IFERROR(__xludf.DUMMYFUNCTION("""COMPUTED_VALUE"""),577.0)</f>
        <v>577</v>
      </c>
      <c r="B578" s="6" t="str">
        <f>IFERROR(__xludf.DUMMYFUNCTION("""COMPUTED_VALUE"""),"Pengaruh Kepercayaan Konsumen, Keragaman Produk dan Kualitas Website terhadap Kepuasan Konsumen pada Mahasiswa Pengguna Shopee")</f>
        <v>Pengaruh Kepercayaan Konsumen, Keragaman Produk dan Kualitas Website terhadap Kepuasan Konsumen pada Mahasiswa Pengguna Shopee</v>
      </c>
      <c r="C578" s="7">
        <f>IFERROR(__xludf.DUMMYFUNCTION("""COMPUTED_VALUE"""),2023.0)</f>
        <v>2023</v>
      </c>
      <c r="D578" s="8" t="str">
        <f>IFERROR(__xludf.DUMMYFUNCTION("""COMPUTED_VALUE"""),"2022/2023")</f>
        <v>2022/2023</v>
      </c>
      <c r="E578" s="9">
        <f>IFERROR(__xludf.DUMMYFUNCTION("""COMPUTED_VALUE"""),45088.0)</f>
        <v>45088</v>
      </c>
      <c r="F578" s="5" t="str">
        <f>IFERROR(__xludf.DUMMYFUNCTION("""COMPUTED_VALUE"""),"Genap")</f>
        <v>Genap</v>
      </c>
      <c r="G578" s="5" t="str">
        <f>IFERROR(__xludf.DUMMYFUNCTION("""COMPUTED_VALUE"""),"Manajemen")</f>
        <v>Manajemen</v>
      </c>
      <c r="H578" s="10" t="str">
        <f>IFERROR(__xludf.DUMMYFUNCTION("""COMPUTED_VALUE"""),"Mahasiswa")</f>
        <v>Mahasiswa</v>
      </c>
      <c r="I578" s="6" t="str">
        <f>IFERROR(__xludf.DUMMYFUNCTION("""COMPUTED_VALUE"""),"Irsyad Alpin Setyadi")</f>
        <v>Irsyad Alpin Setyadi</v>
      </c>
      <c r="J578" s="6" t="str">
        <f>IFERROR(__xludf.DUMMYFUNCTION("""COMPUTED_VALUE"""),"Heny Kurnianingsih")</f>
        <v>Heny Kurnianingsih</v>
      </c>
      <c r="K578" s="6"/>
      <c r="L578" s="6"/>
      <c r="M578" s="6"/>
      <c r="N578" s="6"/>
      <c r="O578" s="6"/>
      <c r="P578" s="10" t="str">
        <f>IFERROR(__xludf.DUMMYFUNCTION("""COMPUTED_VALUE"""),"Irsyad Alpin Setyadi,Heny Kurnianingsih,,")</f>
        <v>Irsyad Alpin Setyadi,Heny Kurnianingsih,,</v>
      </c>
      <c r="Q578" s="11" t="str">
        <f>IFERROR(__xludf.DUMMYFUNCTION("""COMPUTED_VALUE"""),"https://drive.google.com/file/d/1u7d8NrA5M8_pL0uw9jHQw2xX0KrvvFWl/view?usp=sharing")</f>
        <v>https://drive.google.com/file/d/1u7d8NrA5M8_pL0uw9jHQw2xX0KrvvFWl/view?usp=sharing</v>
      </c>
      <c r="R578" s="6"/>
    </row>
    <row r="579">
      <c r="A579" s="5">
        <f>IFERROR(__xludf.DUMMYFUNCTION("""COMPUTED_VALUE"""),578.0)</f>
        <v>578</v>
      </c>
      <c r="B579" s="6" t="str">
        <f>IFERROR(__xludf.DUMMYFUNCTION("""COMPUTED_VALUE"""),"Pengaruh Brand Trust, E-wom, dan Gaya Hidup Terhadap Keputusan Pembelian Melalui Aplikasi Shopee di Solo Raya")</f>
        <v>Pengaruh Brand Trust, E-wom, dan Gaya Hidup Terhadap Keputusan Pembelian Melalui Aplikasi Shopee di Solo Raya</v>
      </c>
      <c r="C579" s="7">
        <f>IFERROR(__xludf.DUMMYFUNCTION("""COMPUTED_VALUE"""),2023.0)</f>
        <v>2023</v>
      </c>
      <c r="D579" s="8" t="str">
        <f>IFERROR(__xludf.DUMMYFUNCTION("""COMPUTED_VALUE"""),"2022/2023")</f>
        <v>2022/2023</v>
      </c>
      <c r="E579" s="9">
        <f>IFERROR(__xludf.DUMMYFUNCTION("""COMPUTED_VALUE"""),45089.0)</f>
        <v>45089</v>
      </c>
      <c r="F579" s="5" t="str">
        <f>IFERROR(__xludf.DUMMYFUNCTION("""COMPUTED_VALUE"""),"Genap")</f>
        <v>Genap</v>
      </c>
      <c r="G579" s="5" t="str">
        <f>IFERROR(__xludf.DUMMYFUNCTION("""COMPUTED_VALUE"""),"Manajemen")</f>
        <v>Manajemen</v>
      </c>
      <c r="H579" s="10" t="str">
        <f>IFERROR(__xludf.DUMMYFUNCTION("""COMPUTED_VALUE"""),"Mahasiswa")</f>
        <v>Mahasiswa</v>
      </c>
      <c r="I579" s="6" t="str">
        <f>IFERROR(__xludf.DUMMYFUNCTION("""COMPUTED_VALUE"""),"Delvia Putri Anjaswati")</f>
        <v>Delvia Putri Anjaswati</v>
      </c>
      <c r="J579" s="6" t="str">
        <f>IFERROR(__xludf.DUMMYFUNCTION("""COMPUTED_VALUE"""),"Budi Istiyanto")</f>
        <v>Budi Istiyanto</v>
      </c>
      <c r="K579" s="6"/>
      <c r="L579" s="6"/>
      <c r="M579" s="6"/>
      <c r="N579" s="6"/>
      <c r="O579" s="6"/>
      <c r="P579" s="10" t="str">
        <f>IFERROR(__xludf.DUMMYFUNCTION("""COMPUTED_VALUE"""),"Delvia Putri Anjaswati,Budi Istiyanto,,")</f>
        <v>Delvia Putri Anjaswati,Budi Istiyanto,,</v>
      </c>
      <c r="Q579" s="11" t="str">
        <f>IFERROR(__xludf.DUMMYFUNCTION("""COMPUTED_VALUE"""),"https://jurnal.itbsemarang.ac.id/index.php/JREA/article/view/262")</f>
        <v>https://jurnal.itbsemarang.ac.id/index.php/JREA/article/view/262</v>
      </c>
      <c r="R579" s="6"/>
    </row>
    <row r="580">
      <c r="A580" s="5">
        <f>IFERROR(__xludf.DUMMYFUNCTION("""COMPUTED_VALUE"""),579.0)</f>
        <v>579</v>
      </c>
      <c r="B580" s="6" t="str">
        <f>IFERROR(__xludf.DUMMYFUNCTION("""COMPUTED_VALUE"""),"Pengaruh Discount, Display Product, dan Shopping Lifestyle terhadap Impulse Buying pada Pt. Matahari Departemen Store Surakarta")</f>
        <v>Pengaruh Discount, Display Product, dan Shopping Lifestyle terhadap Impulse Buying pada Pt. Matahari Departemen Store Surakarta</v>
      </c>
      <c r="C580" s="7">
        <f>IFERROR(__xludf.DUMMYFUNCTION("""COMPUTED_VALUE"""),2023.0)</f>
        <v>2023</v>
      </c>
      <c r="D580" s="8" t="str">
        <f>IFERROR(__xludf.DUMMYFUNCTION("""COMPUTED_VALUE"""),"2022/2023")</f>
        <v>2022/2023</v>
      </c>
      <c r="E580" s="9">
        <f>IFERROR(__xludf.DUMMYFUNCTION("""COMPUTED_VALUE"""),45091.0)</f>
        <v>45091</v>
      </c>
      <c r="F580" s="5" t="str">
        <f>IFERROR(__xludf.DUMMYFUNCTION("""COMPUTED_VALUE"""),"Genap")</f>
        <v>Genap</v>
      </c>
      <c r="G580" s="5" t="str">
        <f>IFERROR(__xludf.DUMMYFUNCTION("""COMPUTED_VALUE"""),"Akuntansi")</f>
        <v>Akuntansi</v>
      </c>
      <c r="H580" s="10" t="str">
        <f>IFERROR(__xludf.DUMMYFUNCTION("""COMPUTED_VALUE"""),"Mahasiswa")</f>
        <v>Mahasiswa</v>
      </c>
      <c r="I580" s="6" t="str">
        <f>IFERROR(__xludf.DUMMYFUNCTION("""COMPUTED_VALUE"""),"Nurul Hidayah")</f>
        <v>Nurul Hidayah</v>
      </c>
      <c r="J580" s="6" t="str">
        <f>IFERROR(__xludf.DUMMYFUNCTION("""COMPUTED_VALUE"""),"Tri Ratna Pamikatsih")</f>
        <v>Tri Ratna Pamikatsih</v>
      </c>
      <c r="K580" s="6"/>
      <c r="L580" s="6"/>
      <c r="M580" s="6"/>
      <c r="N580" s="6"/>
      <c r="O580" s="6"/>
      <c r="P580" s="10" t="str">
        <f>IFERROR(__xludf.DUMMYFUNCTION("""COMPUTED_VALUE"""),"Nurul Hidayah,Tri Ratna Pamikatsih,,")</f>
        <v>Nurul Hidayah,Tri Ratna Pamikatsih,,</v>
      </c>
      <c r="Q580" s="11" t="str">
        <f>IFERROR(__xludf.DUMMYFUNCTION("""COMPUTED_VALUE"""),"http://openjournal.unpam.ac.id/index.php/JISM/article/view/30737")</f>
        <v>http://openjournal.unpam.ac.id/index.php/JISM/article/view/30737</v>
      </c>
      <c r="R580" s="6"/>
    </row>
    <row r="581">
      <c r="A581" s="5">
        <f>IFERROR(__xludf.DUMMYFUNCTION("""COMPUTED_VALUE"""),580.0)</f>
        <v>580</v>
      </c>
      <c r="B581" s="6" t="str">
        <f>IFERROR(__xludf.DUMMYFUNCTION("""COMPUTED_VALUE"""),"Analisis Determinan Nilai Perusahaan Food &amp; Beverages Pada Masa Pandemi Covid-19")</f>
        <v>Analisis Determinan Nilai Perusahaan Food &amp; Beverages Pada Masa Pandemi Covid-19</v>
      </c>
      <c r="C581" s="7">
        <f>IFERROR(__xludf.DUMMYFUNCTION("""COMPUTED_VALUE"""),2023.0)</f>
        <v>2023</v>
      </c>
      <c r="D581" s="8" t="str">
        <f>IFERROR(__xludf.DUMMYFUNCTION("""COMPUTED_VALUE"""),"2022/2023")</f>
        <v>2022/2023</v>
      </c>
      <c r="E581" s="9">
        <f>IFERROR(__xludf.DUMMYFUNCTION("""COMPUTED_VALUE"""),45091.0)</f>
        <v>45091</v>
      </c>
      <c r="F581" s="5" t="str">
        <f>IFERROR(__xludf.DUMMYFUNCTION("""COMPUTED_VALUE"""),"Genap")</f>
        <v>Genap</v>
      </c>
      <c r="G581" s="5" t="str">
        <f>IFERROR(__xludf.DUMMYFUNCTION("""COMPUTED_VALUE"""),"Akuntansi")</f>
        <v>Akuntansi</v>
      </c>
      <c r="H581" s="10" t="str">
        <f>IFERROR(__xludf.DUMMYFUNCTION("""COMPUTED_VALUE"""),"Mahasiswa")</f>
        <v>Mahasiswa</v>
      </c>
      <c r="I581" s="6" t="str">
        <f>IFERROR(__xludf.DUMMYFUNCTION("""COMPUTED_VALUE"""),"Kristy Oktavia")</f>
        <v>Kristy Oktavia</v>
      </c>
      <c r="J581" s="6" t="str">
        <f>IFERROR(__xludf.DUMMYFUNCTION("""COMPUTED_VALUE"""),"Arif Nugroho Rachman")</f>
        <v>Arif Nugroho Rachman</v>
      </c>
      <c r="K581" s="6"/>
      <c r="L581" s="6"/>
      <c r="M581" s="6"/>
      <c r="N581" s="6"/>
      <c r="O581" s="6"/>
      <c r="P581" s="10" t="str">
        <f>IFERROR(__xludf.DUMMYFUNCTION("""COMPUTED_VALUE"""),"Kristy Oktavia,Arif Nugroho Rachman,,")</f>
        <v>Kristy Oktavia,Arif Nugroho Rachman,,</v>
      </c>
      <c r="Q581" s="11" t="str">
        <f>IFERROR(__xludf.DUMMYFUNCTION("""COMPUTED_VALUE"""),"https://ejournal.nusantaraglobal.ac.id/index.php/sentri/article/view/1057")</f>
        <v>https://ejournal.nusantaraglobal.ac.id/index.php/sentri/article/view/1057</v>
      </c>
      <c r="R581" s="6"/>
    </row>
    <row r="582">
      <c r="A582" s="5">
        <f>IFERROR(__xludf.DUMMYFUNCTION("""COMPUTED_VALUE"""),581.0)</f>
        <v>581</v>
      </c>
      <c r="B582" s="6" t="str">
        <f>IFERROR(__xludf.DUMMYFUNCTION("""COMPUTED_VALUE"""),"Faktor-Faktor Yang Mempengaruhi Profitabilitas Pada Perusahaan Makanan Dan Minuman Yang Tercatat Di Bei Pada Masa Pandemi Covid–19")</f>
        <v>Faktor-Faktor Yang Mempengaruhi Profitabilitas Pada Perusahaan Makanan Dan Minuman Yang Tercatat Di Bei Pada Masa Pandemi Covid–19</v>
      </c>
      <c r="C582" s="7">
        <f>IFERROR(__xludf.DUMMYFUNCTION("""COMPUTED_VALUE"""),2023.0)</f>
        <v>2023</v>
      </c>
      <c r="D582" s="8" t="str">
        <f>IFERROR(__xludf.DUMMYFUNCTION("""COMPUTED_VALUE"""),"2022/2023")</f>
        <v>2022/2023</v>
      </c>
      <c r="E582" s="9">
        <f>IFERROR(__xludf.DUMMYFUNCTION("""COMPUTED_VALUE"""),45091.0)</f>
        <v>45091</v>
      </c>
      <c r="F582" s="5" t="str">
        <f>IFERROR(__xludf.DUMMYFUNCTION("""COMPUTED_VALUE"""),"Genap")</f>
        <v>Genap</v>
      </c>
      <c r="G582" s="5" t="str">
        <f>IFERROR(__xludf.DUMMYFUNCTION("""COMPUTED_VALUE"""),"Akuntansi")</f>
        <v>Akuntansi</v>
      </c>
      <c r="H582" s="10" t="str">
        <f>IFERROR(__xludf.DUMMYFUNCTION("""COMPUTED_VALUE"""),"Mahasiswa")</f>
        <v>Mahasiswa</v>
      </c>
      <c r="I582" s="6" t="str">
        <f>IFERROR(__xludf.DUMMYFUNCTION("""COMPUTED_VALUE"""),"Anita Nuraini")</f>
        <v>Anita Nuraini</v>
      </c>
      <c r="J582" s="6" t="str">
        <f>IFERROR(__xludf.DUMMYFUNCTION("""COMPUTED_VALUE"""),"Astuning Saharsini")</f>
        <v>Astuning Saharsini</v>
      </c>
      <c r="K582" s="6"/>
      <c r="L582" s="6"/>
      <c r="M582" s="6"/>
      <c r="N582" s="6"/>
      <c r="O582" s="6"/>
      <c r="P582" s="10" t="str">
        <f>IFERROR(__xludf.DUMMYFUNCTION("""COMPUTED_VALUE"""),"Anita Nuraini,Astuning Saharsini,,")</f>
        <v>Anita Nuraini,Astuning Saharsini,,</v>
      </c>
      <c r="Q582" s="11" t="str">
        <f>IFERROR(__xludf.DUMMYFUNCTION("""COMPUTED_VALUE"""),"https://ejournal.nusantaraglobal.ac.id/index.php/sentri/article/view/1056")</f>
        <v>https://ejournal.nusantaraglobal.ac.id/index.php/sentri/article/view/1056</v>
      </c>
      <c r="R582" s="6"/>
    </row>
    <row r="583">
      <c r="A583" s="5">
        <f>IFERROR(__xludf.DUMMYFUNCTION("""COMPUTED_VALUE"""),582.0)</f>
        <v>582</v>
      </c>
      <c r="B583" s="6" t="str">
        <f>IFERROR(__xludf.DUMMYFUNCTION("""COMPUTED_VALUE"""),"FAKTOR APA SAJA YANG BERPENGARUH TERHADAP KINERJA UMKM? (Study Kasus UMKM di Desa Batan Kabupaten Boyolali)")</f>
        <v>FAKTOR APA SAJA YANG BERPENGARUH TERHADAP KINERJA UMKM? (Study Kasus UMKM di Desa Batan Kabupaten Boyolali)</v>
      </c>
      <c r="C583" s="7">
        <f>IFERROR(__xludf.DUMMYFUNCTION("""COMPUTED_VALUE"""),2023.0)</f>
        <v>2023</v>
      </c>
      <c r="D583" s="8" t="str">
        <f>IFERROR(__xludf.DUMMYFUNCTION("""COMPUTED_VALUE"""),"2022/2023")</f>
        <v>2022/2023</v>
      </c>
      <c r="E583" s="9">
        <f>IFERROR(__xludf.DUMMYFUNCTION("""COMPUTED_VALUE"""),45093.0)</f>
        <v>45093</v>
      </c>
      <c r="F583" s="5" t="str">
        <f>IFERROR(__xludf.DUMMYFUNCTION("""COMPUTED_VALUE"""),"Genap")</f>
        <v>Genap</v>
      </c>
      <c r="G583" s="5" t="str">
        <f>IFERROR(__xludf.DUMMYFUNCTION("""COMPUTED_VALUE"""),"Akuntansi")</f>
        <v>Akuntansi</v>
      </c>
      <c r="H583" s="10" t="str">
        <f>IFERROR(__xludf.DUMMYFUNCTION("""COMPUTED_VALUE"""),"Mahasiswa")</f>
        <v>Mahasiswa</v>
      </c>
      <c r="I583" s="6" t="str">
        <f>IFERROR(__xludf.DUMMYFUNCTION("""COMPUTED_VALUE"""),"Rischa Tiaradewi")</f>
        <v>Rischa Tiaradewi</v>
      </c>
      <c r="J583" s="6" t="str">
        <f>IFERROR(__xludf.DUMMYFUNCTION("""COMPUTED_VALUE"""),"Ismunawan")</f>
        <v>Ismunawan</v>
      </c>
      <c r="K583" s="6"/>
      <c r="L583" s="6"/>
      <c r="M583" s="6"/>
      <c r="N583" s="6"/>
      <c r="O583" s="6"/>
      <c r="P583" s="10" t="str">
        <f>IFERROR(__xludf.DUMMYFUNCTION("""COMPUTED_VALUE"""),"Rischa Tiaradewi,Ismunawan,,")</f>
        <v>Rischa Tiaradewi,Ismunawan,,</v>
      </c>
      <c r="Q583" s="11" t="str">
        <f>IFERROR(__xludf.DUMMYFUNCTION("""COMPUTED_VALUE"""),"https://journal.sinov.id/index.php/jurimbik/article/view/483")</f>
        <v>https://journal.sinov.id/index.php/jurimbik/article/view/483</v>
      </c>
      <c r="R583" s="6"/>
    </row>
    <row r="584">
      <c r="A584" s="5">
        <f>IFERROR(__xludf.DUMMYFUNCTION("""COMPUTED_VALUE"""),583.0)</f>
        <v>583</v>
      </c>
      <c r="B584" s="6" t="str">
        <f>IFERROR(__xludf.DUMMYFUNCTION("""COMPUTED_VALUE"""),"The Effect Of Work Training, Work Environment And Work Motivation On The Work Productivity Of Pt. Xyz")</f>
        <v>The Effect Of Work Training, Work Environment And Work Motivation On The Work Productivity Of Pt. Xyz</v>
      </c>
      <c r="C584" s="7">
        <f>IFERROR(__xludf.DUMMYFUNCTION("""COMPUTED_VALUE"""),2023.0)</f>
        <v>2023</v>
      </c>
      <c r="D584" s="8" t="str">
        <f>IFERROR(__xludf.DUMMYFUNCTION("""COMPUTED_VALUE"""),"2022/2023")</f>
        <v>2022/2023</v>
      </c>
      <c r="E584" s="9">
        <f>IFERROR(__xludf.DUMMYFUNCTION("""COMPUTED_VALUE"""),45093.0)</f>
        <v>45093</v>
      </c>
      <c r="F584" s="5" t="str">
        <f>IFERROR(__xludf.DUMMYFUNCTION("""COMPUTED_VALUE"""),"Genap")</f>
        <v>Genap</v>
      </c>
      <c r="G584" s="5" t="str">
        <f>IFERROR(__xludf.DUMMYFUNCTION("""COMPUTED_VALUE"""),"")</f>
        <v/>
      </c>
      <c r="H584" s="10" t="str">
        <f>IFERROR(__xludf.DUMMYFUNCTION("""COMPUTED_VALUE"""),"Mahasiswa")</f>
        <v>Mahasiswa</v>
      </c>
      <c r="I584" s="6" t="str">
        <f>IFERROR(__xludf.DUMMYFUNCTION("""COMPUTED_VALUE""")," Nita Rahmayanti
")</f>
        <v> Nita Rahmayanti
</v>
      </c>
      <c r="J584" s="6" t="str">
        <f>IFERROR(__xludf.DUMMYFUNCTION("""COMPUTED_VALUE""")," Putri Maisara
")</f>
        <v> Putri Maisara
</v>
      </c>
      <c r="K584" s="6"/>
      <c r="L584" s="6"/>
      <c r="M584" s="6"/>
      <c r="N584" s="6"/>
      <c r="O584" s="6"/>
      <c r="P584" s="10" t="str">
        <f>IFERROR(__xludf.DUMMYFUNCTION("""COMPUTED_VALUE""")," Nita Rahmayanti
, Putri Maisara
,,")</f>
        <v> Nita Rahmayanti
, Putri Maisara
,,</v>
      </c>
      <c r="Q584" s="11" t="str">
        <f>IFERROR(__xludf.DUMMYFUNCTION("""COMPUTED_VALUE"""),"https://jurnal.seaninstitute.or.id/index.php/marekonomi/article/view/136")</f>
        <v>https://jurnal.seaninstitute.or.id/index.php/marekonomi/article/view/136</v>
      </c>
      <c r="R584" s="6"/>
    </row>
    <row r="585">
      <c r="A585" s="5">
        <f>IFERROR(__xludf.DUMMYFUNCTION("""COMPUTED_VALUE"""),584.0)</f>
        <v>584</v>
      </c>
      <c r="B585" s="6" t="str">
        <f>IFERROR(__xludf.DUMMYFUNCTION("""COMPUTED_VALUE"""),"Dr. Gin Research Model Canvas")</f>
        <v>Dr. Gin Research Model Canvas</v>
      </c>
      <c r="C585" s="7">
        <f>IFERROR(__xludf.DUMMYFUNCTION("""COMPUTED_VALUE"""),2023.0)</f>
        <v>2023</v>
      </c>
      <c r="D585" s="8" t="str">
        <f>IFERROR(__xludf.DUMMYFUNCTION("""COMPUTED_VALUE"""),"2022/2023")</f>
        <v>2022/2023</v>
      </c>
      <c r="E585" s="9">
        <f>IFERROR(__xludf.DUMMYFUNCTION("""COMPUTED_VALUE"""),45096.0)</f>
        <v>45096</v>
      </c>
      <c r="F585" s="5" t="str">
        <f>IFERROR(__xludf.DUMMYFUNCTION("""COMPUTED_VALUE"""),"Genap")</f>
        <v>Genap</v>
      </c>
      <c r="G585" s="5" t="str">
        <f>IFERROR(__xludf.DUMMYFUNCTION("""COMPUTED_VALUE"""),"Manajemen")</f>
        <v>Manajemen</v>
      </c>
      <c r="H585" s="10" t="str">
        <f>IFERROR(__xludf.DUMMYFUNCTION("""COMPUTED_VALUE"""),"Dosen")</f>
        <v>Dosen</v>
      </c>
      <c r="I585" s="6" t="str">
        <f>IFERROR(__xludf.DUMMYFUNCTION("""COMPUTED_VALUE"""),"Ginanjar Rahmawan")</f>
        <v>Ginanjar Rahmawan</v>
      </c>
      <c r="J585" s="6"/>
      <c r="K585" s="6"/>
      <c r="L585" s="6"/>
      <c r="M585" s="6"/>
      <c r="N585" s="6"/>
      <c r="O585" s="6"/>
      <c r="P585" s="10" t="str">
        <f>IFERROR(__xludf.DUMMYFUNCTION("""COMPUTED_VALUE"""),"Ginanjar Rahmawan,,,")</f>
        <v>Ginanjar Rahmawan,,,</v>
      </c>
      <c r="Q585" s="11" t="str">
        <f>IFERROR(__xludf.DUMMYFUNCTION("""COMPUTED_VALUE"""),"https://drive.google.com/file/d/1-MZhOHRxJQMuMmB1geUZTmmsEd7IeU0j/view")</f>
        <v>https://drive.google.com/file/d/1-MZhOHRxJQMuMmB1geUZTmmsEd7IeU0j/view</v>
      </c>
      <c r="R585" s="6"/>
    </row>
    <row r="586">
      <c r="A586" s="5">
        <f>IFERROR(__xludf.DUMMYFUNCTION("""COMPUTED_VALUE"""),585.0)</f>
        <v>585</v>
      </c>
      <c r="B586" s="6" t="str">
        <f>IFERROR(__xludf.DUMMYFUNCTION("""COMPUTED_VALUE"""),"Motivasi Wirausaha Pasca Pensiun")</f>
        <v>Motivasi Wirausaha Pasca Pensiun</v>
      </c>
      <c r="C586" s="7">
        <f>IFERROR(__xludf.DUMMYFUNCTION("""COMPUTED_VALUE"""),2023.0)</f>
        <v>2023</v>
      </c>
      <c r="D586" s="8" t="str">
        <f>IFERROR(__xludf.DUMMYFUNCTION("""COMPUTED_VALUE"""),"2022/2023")</f>
        <v>2022/2023</v>
      </c>
      <c r="E586" s="9">
        <f>IFERROR(__xludf.DUMMYFUNCTION("""COMPUTED_VALUE"""),45096.0)</f>
        <v>45096</v>
      </c>
      <c r="F586" s="5" t="str">
        <f>IFERROR(__xludf.DUMMYFUNCTION("""COMPUTED_VALUE"""),"Genap")</f>
        <v>Genap</v>
      </c>
      <c r="G586" s="5" t="str">
        <f>IFERROR(__xludf.DUMMYFUNCTION("""COMPUTED_VALUE"""),"Manajemen")</f>
        <v>Manajemen</v>
      </c>
      <c r="H586" s="10" t="str">
        <f>IFERROR(__xludf.DUMMYFUNCTION("""COMPUTED_VALUE"""),"Dosen")</f>
        <v>Dosen</v>
      </c>
      <c r="I586" s="6" t="str">
        <f>IFERROR(__xludf.DUMMYFUNCTION("""COMPUTED_VALUE"""),"Budi Istiyanto")</f>
        <v>Budi Istiyanto</v>
      </c>
      <c r="J586" s="6"/>
      <c r="K586" s="6"/>
      <c r="L586" s="6"/>
      <c r="M586" s="6"/>
      <c r="N586" s="6"/>
      <c r="O586" s="6"/>
      <c r="P586" s="10" t="str">
        <f>IFERROR(__xludf.DUMMYFUNCTION("""COMPUTED_VALUE"""),"Budi Istiyanto,,,")</f>
        <v>Budi Istiyanto,,,</v>
      </c>
      <c r="Q586" s="11" t="str">
        <f>IFERROR(__xludf.DUMMYFUNCTION("""COMPUTED_VALUE"""),"https://docs.google.com/document/d/1qHc-QHIJuffFKc_Ea8IEukGXn9gu9HOD/edit?usp=drive_link&amp;ouid=113741177560435037779&amp;rtpof=true&amp;sd=true")</f>
        <v>https://docs.google.com/document/d/1qHc-QHIJuffFKc_Ea8IEukGXn9gu9HOD/edit?usp=drive_link&amp;ouid=113741177560435037779&amp;rtpof=true&amp;sd=true</v>
      </c>
      <c r="R586" s="6"/>
    </row>
    <row r="587">
      <c r="A587" s="5">
        <f>IFERROR(__xludf.DUMMYFUNCTION("""COMPUTED_VALUE"""),586.0)</f>
        <v>586</v>
      </c>
      <c r="B587" s="6" t="str">
        <f>IFERROR(__xludf.DUMMYFUNCTION("""COMPUTED_VALUE"""),"Pengaruh Modal, Biaya Produksi, dan Teknologi Terhadap Pendapatan UMKM (Studi Kasus Pada UMKM Di Kecamatan Karangdowo)")</f>
        <v>Pengaruh Modal, Biaya Produksi, dan Teknologi Terhadap Pendapatan UMKM (Studi Kasus Pada UMKM Di Kecamatan Karangdowo)</v>
      </c>
      <c r="C587" s="7">
        <f>IFERROR(__xludf.DUMMYFUNCTION("""COMPUTED_VALUE"""),2023.0)</f>
        <v>2023</v>
      </c>
      <c r="D587" s="8" t="str">
        <f>IFERROR(__xludf.DUMMYFUNCTION("""COMPUTED_VALUE"""),"2022/2023")</f>
        <v>2022/2023</v>
      </c>
      <c r="E587" s="9">
        <f>IFERROR(__xludf.DUMMYFUNCTION("""COMPUTED_VALUE"""),45097.0)</f>
        <v>45097</v>
      </c>
      <c r="F587" s="5" t="str">
        <f>IFERROR(__xludf.DUMMYFUNCTION("""COMPUTED_VALUE"""),"Genap")</f>
        <v>Genap</v>
      </c>
      <c r="G587" s="5" t="str">
        <f>IFERROR(__xludf.DUMMYFUNCTION("""COMPUTED_VALUE"""),"Akuntansi")</f>
        <v>Akuntansi</v>
      </c>
      <c r="H587" s="10" t="str">
        <f>IFERROR(__xludf.DUMMYFUNCTION("""COMPUTED_VALUE"""),"Mahasiswa")</f>
        <v>Mahasiswa</v>
      </c>
      <c r="I587" s="6" t="str">
        <f>IFERROR(__xludf.DUMMYFUNCTION("""COMPUTED_VALUE"""),"Ambarsari Dewi Putri")</f>
        <v>Ambarsari Dewi Putri</v>
      </c>
      <c r="J587" s="6" t="str">
        <f>IFERROR(__xludf.DUMMYFUNCTION("""COMPUTED_VALUE"""),"Arif Farida")</f>
        <v>Arif Farida</v>
      </c>
      <c r="K587" s="6"/>
      <c r="L587" s="6"/>
      <c r="M587" s="6"/>
      <c r="N587" s="6"/>
      <c r="O587" s="6"/>
      <c r="P587" s="10" t="str">
        <f>IFERROR(__xludf.DUMMYFUNCTION("""COMPUTED_VALUE"""),"Ambarsari Dewi Putri,Arif Farida,,")</f>
        <v>Ambarsari Dewi Putri,Arif Farida,,</v>
      </c>
      <c r="Q587" s="11" t="str">
        <f>IFERROR(__xludf.DUMMYFUNCTION("""COMPUTED_VALUE"""),"https://jurnal.stiesurakarta.ac.id/index.php/jebdeker/article/view/194")</f>
        <v>https://jurnal.stiesurakarta.ac.id/index.php/jebdeker/article/view/194</v>
      </c>
      <c r="R587" s="6"/>
    </row>
    <row r="588">
      <c r="A588" s="5">
        <f>IFERROR(__xludf.DUMMYFUNCTION("""COMPUTED_VALUE"""),587.0)</f>
        <v>587</v>
      </c>
      <c r="B588" s="6" t="str">
        <f>IFERROR(__xludf.DUMMYFUNCTION("""COMPUTED_VALUE"""),"PENGARUH FRAUD HEXAGON TERHADAP KECURANGAN LAPORAN KEUANGAN PERUSAHAAN PROPERTI DAN REAL ESTATE")</f>
        <v>PENGARUH FRAUD HEXAGON TERHADAP KECURANGAN LAPORAN KEUANGAN PERUSAHAAN PROPERTI DAN REAL ESTATE</v>
      </c>
      <c r="C588" s="7">
        <f>IFERROR(__xludf.DUMMYFUNCTION("""COMPUTED_VALUE"""),2023.0)</f>
        <v>2023</v>
      </c>
      <c r="D588" s="8" t="str">
        <f>IFERROR(__xludf.DUMMYFUNCTION("""COMPUTED_VALUE"""),"2022/2023")</f>
        <v>2022/2023</v>
      </c>
      <c r="E588" s="9">
        <f>IFERROR(__xludf.DUMMYFUNCTION("""COMPUTED_VALUE"""),45097.0)</f>
        <v>45097</v>
      </c>
      <c r="F588" s="5" t="str">
        <f>IFERROR(__xludf.DUMMYFUNCTION("""COMPUTED_VALUE"""),"Genap")</f>
        <v>Genap</v>
      </c>
      <c r="G588" s="5" t="str">
        <f>IFERROR(__xludf.DUMMYFUNCTION("""COMPUTED_VALUE"""),"Akuntansi")</f>
        <v>Akuntansi</v>
      </c>
      <c r="H588" s="10" t="str">
        <f>IFERROR(__xludf.DUMMYFUNCTION("""COMPUTED_VALUE"""),"Mahasiswa")</f>
        <v>Mahasiswa</v>
      </c>
      <c r="I588" s="6" t="str">
        <f>IFERROR(__xludf.DUMMYFUNCTION("""COMPUTED_VALUE"""),"Indi Citra Riswana")</f>
        <v>Indi Citra Riswana</v>
      </c>
      <c r="J588" s="6" t="str">
        <f>IFERROR(__xludf.DUMMYFUNCTION("""COMPUTED_VALUE"""),"Astuning Saharsini")</f>
        <v>Astuning Saharsini</v>
      </c>
      <c r="K588" s="6" t="str">
        <f>IFERROR(__xludf.DUMMYFUNCTION("""COMPUTED_VALUE"""),"Pardi")</f>
        <v>Pardi</v>
      </c>
      <c r="L588" s="6"/>
      <c r="M588" s="6"/>
      <c r="N588" s="6"/>
      <c r="O588" s="6"/>
      <c r="P588" s="10" t="str">
        <f>IFERROR(__xludf.DUMMYFUNCTION("""COMPUTED_VALUE"""),"Indi Citra Riswana,Astuning Saharsini,Pardi,")</f>
        <v>Indi Citra Riswana,Astuning Saharsini,Pardi,</v>
      </c>
      <c r="Q588" s="11" t="str">
        <f>IFERROR(__xludf.DUMMYFUNCTION("""COMPUTED_VALUE"""),"https://jurnal.stiesurakarta.ac.id/index.php/jebdeker/article/view/178")</f>
        <v>https://jurnal.stiesurakarta.ac.id/index.php/jebdeker/article/view/178</v>
      </c>
      <c r="R588" s="6"/>
    </row>
    <row r="589">
      <c r="A589" s="5">
        <f>IFERROR(__xludf.DUMMYFUNCTION("""COMPUTED_VALUE"""),588.0)</f>
        <v>588</v>
      </c>
      <c r="B589" s="6" t="str">
        <f>IFERROR(__xludf.DUMMYFUNCTION("""COMPUTED_VALUE"""),"Faktor Harga, Produk dari sisi Kualitas dan Inovasi pada pertimbangan Pembelian Freemilt (Teh bercirikan negeri Thailand) di Klaten")</f>
        <v>Faktor Harga, Produk dari sisi Kualitas dan Inovasi pada pertimbangan Pembelian Freemilt (Teh bercirikan negeri Thailand) di Klaten</v>
      </c>
      <c r="C589" s="7">
        <f>IFERROR(__xludf.DUMMYFUNCTION("""COMPUTED_VALUE"""),2023.0)</f>
        <v>2023</v>
      </c>
      <c r="D589" s="8" t="str">
        <f>IFERROR(__xludf.DUMMYFUNCTION("""COMPUTED_VALUE"""),"2022/2023")</f>
        <v>2022/2023</v>
      </c>
      <c r="E589" s="9">
        <f>IFERROR(__xludf.DUMMYFUNCTION("""COMPUTED_VALUE"""),45097.0)</f>
        <v>45097</v>
      </c>
      <c r="F589" s="5" t="str">
        <f>IFERROR(__xludf.DUMMYFUNCTION("""COMPUTED_VALUE"""),"Genap")</f>
        <v>Genap</v>
      </c>
      <c r="G589" s="5" t="str">
        <f>IFERROR(__xludf.DUMMYFUNCTION("""COMPUTED_VALUE"""),"Manajemen")</f>
        <v>Manajemen</v>
      </c>
      <c r="H589" s="10" t="str">
        <f>IFERROR(__xludf.DUMMYFUNCTION("""COMPUTED_VALUE"""),"Mahasiswa")</f>
        <v>Mahasiswa</v>
      </c>
      <c r="I589" s="6" t="str">
        <f>IFERROR(__xludf.DUMMYFUNCTION("""COMPUTED_VALUE"""),"Octavia Nur K.P Nur")</f>
        <v>Octavia Nur K.P Nur</v>
      </c>
      <c r="J589" s="6" t="str">
        <f>IFERROR(__xludf.DUMMYFUNCTION("""COMPUTED_VALUE"""),"Andri Nurtantiono")</f>
        <v>Andri Nurtantiono</v>
      </c>
      <c r="K589" s="6"/>
      <c r="L589" s="6"/>
      <c r="M589" s="6"/>
      <c r="N589" s="6"/>
      <c r="O589" s="6"/>
      <c r="P589" s="10" t="str">
        <f>IFERROR(__xludf.DUMMYFUNCTION("""COMPUTED_VALUE"""),"Octavia Nur K.P Nur,Andri Nurtantiono,,")</f>
        <v>Octavia Nur K.P Nur,Andri Nurtantiono,,</v>
      </c>
      <c r="Q589" s="11" t="str">
        <f>IFERROR(__xludf.DUMMYFUNCTION("""COMPUTED_VALUE"""),"https://jurnal.stiesurakarta.ac.id/index.php/jebdeker/article/view/168")</f>
        <v>https://jurnal.stiesurakarta.ac.id/index.php/jebdeker/article/view/168</v>
      </c>
      <c r="R589" s="6"/>
    </row>
    <row r="590">
      <c r="A590" s="5">
        <f>IFERROR(__xludf.DUMMYFUNCTION("""COMPUTED_VALUE"""),589.0)</f>
        <v>589</v>
      </c>
      <c r="B590" s="6" t="str">
        <f>IFERROR(__xludf.DUMMYFUNCTION("""COMPUTED_VALUE"""),"Determinan Minat Mahasiswa Akuntansi Memilih Karir Entrepreneur Dengan Motivasi Berwirausaha Sebagai Variabel Intervening (Studi Empiris Pada Mahasiswa Akuntansi Stiesurakarta)")</f>
        <v>Determinan Minat Mahasiswa Akuntansi Memilih Karir Entrepreneur Dengan Motivasi Berwirausaha Sebagai Variabel Intervening (Studi Empiris Pada Mahasiswa Akuntansi Stiesurakarta)</v>
      </c>
      <c r="C590" s="7">
        <f>IFERROR(__xludf.DUMMYFUNCTION("""COMPUTED_VALUE"""),2023.0)</f>
        <v>2023</v>
      </c>
      <c r="D590" s="8" t="str">
        <f>IFERROR(__xludf.DUMMYFUNCTION("""COMPUTED_VALUE"""),"2022/2023")</f>
        <v>2022/2023</v>
      </c>
      <c r="E590" s="9">
        <f>IFERROR(__xludf.DUMMYFUNCTION("""COMPUTED_VALUE"""),45098.0)</f>
        <v>45098</v>
      </c>
      <c r="F590" s="5" t="str">
        <f>IFERROR(__xludf.DUMMYFUNCTION("""COMPUTED_VALUE"""),"Genap")</f>
        <v>Genap</v>
      </c>
      <c r="G590" s="5" t="str">
        <f>IFERROR(__xludf.DUMMYFUNCTION("""COMPUTED_VALUE"""),"Akuntansi")</f>
        <v>Akuntansi</v>
      </c>
      <c r="H590" s="10" t="str">
        <f>IFERROR(__xludf.DUMMYFUNCTION("""COMPUTED_VALUE"""),"Dosen")</f>
        <v>Dosen</v>
      </c>
      <c r="I590" s="6" t="str">
        <f>IFERROR(__xludf.DUMMYFUNCTION("""COMPUTED_VALUE"""),"Dewi Ika Octavia")</f>
        <v>Dewi Ika Octavia</v>
      </c>
      <c r="J590" s="6" t="str">
        <f>IFERROR(__xludf.DUMMYFUNCTION("""COMPUTED_VALUE"""),"Ari Susanti")</f>
        <v>Ari Susanti</v>
      </c>
      <c r="K590" s="6" t="str">
        <f>IFERROR(__xludf.DUMMYFUNCTION("""COMPUTED_VALUE"""),"Era Trianita")</f>
        <v>Era Trianita</v>
      </c>
      <c r="L590" s="6"/>
      <c r="M590" s="6"/>
      <c r="N590" s="6"/>
      <c r="O590" s="6"/>
      <c r="P590" s="10" t="str">
        <f>IFERROR(__xludf.DUMMYFUNCTION("""COMPUTED_VALUE"""),"Dewi Ika Octavia,Ari Susanti,Era Trianita,")</f>
        <v>Dewi Ika Octavia,Ari Susanti,Era Trianita,</v>
      </c>
      <c r="Q590" s="11" t="str">
        <f>IFERROR(__xludf.DUMMYFUNCTION("""COMPUTED_VALUE"""),"https://jurnal.stiesurakarta.ac.id/index.php/jebdeker/article/view/192")</f>
        <v>https://jurnal.stiesurakarta.ac.id/index.php/jebdeker/article/view/192</v>
      </c>
      <c r="R590" s="6"/>
    </row>
    <row r="591">
      <c r="A591" s="5">
        <f>IFERROR(__xludf.DUMMYFUNCTION("""COMPUTED_VALUE"""),590.0)</f>
        <v>590</v>
      </c>
      <c r="B591" s="6" t="str">
        <f>IFERROR(__xludf.DUMMYFUNCTION("""COMPUTED_VALUE"""),"The Role of Customer-Fit Reconfiguring Capability on the Influence of Customer Orientation on Salesperson Performance")</f>
        <v>The Role of Customer-Fit Reconfiguring Capability on the Influence of Customer Orientation on Salesperson Performance</v>
      </c>
      <c r="C591" s="7">
        <f>IFERROR(__xludf.DUMMYFUNCTION("""COMPUTED_VALUE"""),2023.0)</f>
        <v>2023</v>
      </c>
      <c r="D591" s="8" t="str">
        <f>IFERROR(__xludf.DUMMYFUNCTION("""COMPUTED_VALUE"""),"2022/2023")</f>
        <v>2022/2023</v>
      </c>
      <c r="E591" s="9">
        <f>IFERROR(__xludf.DUMMYFUNCTION("""COMPUTED_VALUE"""),45104.0)</f>
        <v>45104</v>
      </c>
      <c r="F591" s="5" t="str">
        <f>IFERROR(__xludf.DUMMYFUNCTION("""COMPUTED_VALUE"""),"Genap")</f>
        <v>Genap</v>
      </c>
      <c r="G591" s="5" t="str">
        <f>IFERROR(__xludf.DUMMYFUNCTION("""COMPUTED_VALUE"""),"Manajemen")</f>
        <v>Manajemen</v>
      </c>
      <c r="H591" s="10" t="str">
        <f>IFERROR(__xludf.DUMMYFUNCTION("""COMPUTED_VALUE"""),"Dosen")</f>
        <v>Dosen</v>
      </c>
      <c r="I591" s="6" t="str">
        <f>IFERROR(__xludf.DUMMYFUNCTION("""COMPUTED_VALUE"""),"Ginanjar Rahmawan")</f>
        <v>Ginanjar Rahmawan</v>
      </c>
      <c r="J591" s="6" t="str">
        <f>IFERROR(__xludf.DUMMYFUNCTION("""COMPUTED_VALUE"""),"Budiyanto")</f>
        <v>Budiyanto</v>
      </c>
      <c r="K591" s="6" t="str">
        <f>IFERROR(__xludf.DUMMYFUNCTION("""COMPUTED_VALUE"""),"Suwitho")</f>
        <v>Suwitho</v>
      </c>
      <c r="L591" s="6"/>
      <c r="M591" s="6"/>
      <c r="N591" s="6"/>
      <c r="O591" s="6"/>
      <c r="P591" s="10" t="str">
        <f>IFERROR(__xludf.DUMMYFUNCTION("""COMPUTED_VALUE"""),"Ginanjar Rahmawan,Budiyanto,Suwitho,")</f>
        <v>Ginanjar Rahmawan,Budiyanto,Suwitho,</v>
      </c>
      <c r="Q591" s="11" t="str">
        <f>IFERROR(__xludf.DUMMYFUNCTION("""COMPUTED_VALUE"""),"https://openaccessojs.com/JBReview/article/view/1804")</f>
        <v>https://openaccessojs.com/JBReview/article/view/1804</v>
      </c>
      <c r="R591" s="6"/>
    </row>
    <row r="592">
      <c r="A592" s="5">
        <f>IFERROR(__xludf.DUMMYFUNCTION("""COMPUTED_VALUE"""),591.0)</f>
        <v>591</v>
      </c>
      <c r="B592" s="6" t="str">
        <f>IFERROR(__xludf.DUMMYFUNCTION("""COMPUTED_VALUE"""),"Determinasi Kepatuhan Wajib Pajak Orang Pribadi (Studi Empiris Wajib Pajak Orang Pribadi di KPP Surakarta)")</f>
        <v>Determinasi Kepatuhan Wajib Pajak Orang Pribadi (Studi Empiris Wajib Pajak Orang Pribadi di KPP Surakarta)</v>
      </c>
      <c r="C592" s="7">
        <f>IFERROR(__xludf.DUMMYFUNCTION("""COMPUTED_VALUE"""),2023.0)</f>
        <v>2023</v>
      </c>
      <c r="D592" s="8" t="str">
        <f>IFERROR(__xludf.DUMMYFUNCTION("""COMPUTED_VALUE"""),"2022/2023")</f>
        <v>2022/2023</v>
      </c>
      <c r="E592" s="9">
        <f>IFERROR(__xludf.DUMMYFUNCTION("""COMPUTED_VALUE"""),45104.0)</f>
        <v>45104</v>
      </c>
      <c r="F592" s="5" t="str">
        <f>IFERROR(__xludf.DUMMYFUNCTION("""COMPUTED_VALUE"""),"Genap")</f>
        <v>Genap</v>
      </c>
      <c r="G592" s="5" t="str">
        <f>IFERROR(__xludf.DUMMYFUNCTION("""COMPUTED_VALUE"""),"Akuntansi")</f>
        <v>Akuntansi</v>
      </c>
      <c r="H592" s="10" t="str">
        <f>IFERROR(__xludf.DUMMYFUNCTION("""COMPUTED_VALUE"""),"Dosen")</f>
        <v>Dosen</v>
      </c>
      <c r="I592" s="6" t="str">
        <f>IFERROR(__xludf.DUMMYFUNCTION("""COMPUTED_VALUE"""),"Era Trianita Saputra")</f>
        <v>Era Trianita Saputra</v>
      </c>
      <c r="J592" s="6" t="str">
        <f>IFERROR(__xludf.DUMMYFUNCTION("""COMPUTED_VALUE"""),"Dewi Octavia Ika")</f>
        <v>Dewi Octavia Ika</v>
      </c>
      <c r="K592" s="6"/>
      <c r="L592" s="6"/>
      <c r="M592" s="6"/>
      <c r="N592" s="6"/>
      <c r="O592" s="6"/>
      <c r="P592" s="10" t="str">
        <f>IFERROR(__xludf.DUMMYFUNCTION("""COMPUTED_VALUE"""),"Era Trianita Saputra,Dewi Octavia Ika,,")</f>
        <v>Era Trianita Saputra,Dewi Octavia Ika,,</v>
      </c>
      <c r="Q592" s="11" t="str">
        <f>IFERROR(__xludf.DUMMYFUNCTION("""COMPUTED_VALUE"""),"https://jurnal.stiesurakarta.ac.id/index.php/jebdeker/article/view/190")</f>
        <v>https://jurnal.stiesurakarta.ac.id/index.php/jebdeker/article/view/190</v>
      </c>
      <c r="R592" s="6"/>
    </row>
    <row r="593">
      <c r="A593" s="5">
        <f>IFERROR(__xludf.DUMMYFUNCTION("""COMPUTED_VALUE"""),592.0)</f>
        <v>592</v>
      </c>
      <c r="B593" s="6" t="str">
        <f>IFERROR(__xludf.DUMMYFUNCTION("""COMPUTED_VALUE"""),"Analisis Kinerja Keuangan Untuk Menilai Tingkat Kesehatan Kspps Bmt Syari’Ah Mandiri Ampel Boyolali")</f>
        <v>Analisis Kinerja Keuangan Untuk Menilai Tingkat Kesehatan Kspps Bmt Syari’Ah Mandiri Ampel Boyolali</v>
      </c>
      <c r="C593" s="7">
        <f>IFERROR(__xludf.DUMMYFUNCTION("""COMPUTED_VALUE"""),2023.0)</f>
        <v>2023</v>
      </c>
      <c r="D593" s="8" t="str">
        <f>IFERROR(__xludf.DUMMYFUNCTION("""COMPUTED_VALUE"""),"2022/2023")</f>
        <v>2022/2023</v>
      </c>
      <c r="E593" s="9">
        <f>IFERROR(__xludf.DUMMYFUNCTION("""COMPUTED_VALUE"""),45104.0)</f>
        <v>45104</v>
      </c>
      <c r="F593" s="5" t="str">
        <f>IFERROR(__xludf.DUMMYFUNCTION("""COMPUTED_VALUE"""),"Genap")</f>
        <v>Genap</v>
      </c>
      <c r="G593" s="5" t="str">
        <f>IFERROR(__xludf.DUMMYFUNCTION("""COMPUTED_VALUE"""),"Akuntansi")</f>
        <v>Akuntansi</v>
      </c>
      <c r="H593" s="10" t="str">
        <f>IFERROR(__xludf.DUMMYFUNCTION("""COMPUTED_VALUE"""),"Dosen")</f>
        <v>Dosen</v>
      </c>
      <c r="I593" s="6" t="str">
        <f>IFERROR(__xludf.DUMMYFUNCTION("""COMPUTED_VALUE"""),"Eko Triyanto")</f>
        <v>Eko Triyanto</v>
      </c>
      <c r="J593" s="6" t="str">
        <f>IFERROR(__xludf.DUMMYFUNCTION("""COMPUTED_VALUE"""),"Amy Wulandari")</f>
        <v>Amy Wulandari</v>
      </c>
      <c r="K593" s="6" t="str">
        <f>IFERROR(__xludf.DUMMYFUNCTION("""COMPUTED_VALUE"""),"Muhammad Jalari")</f>
        <v>Muhammad Jalari</v>
      </c>
      <c r="L593" s="6" t="str">
        <f>IFERROR(__xludf.DUMMYFUNCTION("""COMPUTED_VALUE"""),"Nabila Ishika Rahmawati")</f>
        <v>Nabila Ishika Rahmawati</v>
      </c>
      <c r="M593" s="6"/>
      <c r="N593" s="6"/>
      <c r="O593" s="6"/>
      <c r="P593" s="10" t="str">
        <f>IFERROR(__xludf.DUMMYFUNCTION("""COMPUTED_VALUE"""),"Eko Triyanto,Amy Wulandari,Muhammad Jalari,Nabila Ishika Rahmawati")</f>
        <v>Eko Triyanto,Amy Wulandari,Muhammad Jalari,Nabila Ishika Rahmawati</v>
      </c>
      <c r="Q593" s="11" t="str">
        <f>IFERROR(__xludf.DUMMYFUNCTION("""COMPUTED_VALUE"""),"https://jurnal.stiesurakarta.ac.id/index.php/jebdeker/article/view/191")</f>
        <v>https://jurnal.stiesurakarta.ac.id/index.php/jebdeker/article/view/191</v>
      </c>
      <c r="R593" s="6"/>
    </row>
    <row r="594">
      <c r="A594" s="5">
        <f>IFERROR(__xludf.DUMMYFUNCTION("""COMPUTED_VALUE"""),593.0)</f>
        <v>593</v>
      </c>
      <c r="B594" s="6" t="str">
        <f>IFERROR(__xludf.DUMMYFUNCTION("""COMPUTED_VALUE"""),"Analisis Faktor-Faktor Yang Mempengaruhi Pendapatan Umkm Makanan Dan Minuman Di Kabupaten Sukoharjo")</f>
        <v>Analisis Faktor-Faktor Yang Mempengaruhi Pendapatan Umkm Makanan Dan Minuman Di Kabupaten Sukoharjo</v>
      </c>
      <c r="C594" s="7">
        <f>IFERROR(__xludf.DUMMYFUNCTION("""COMPUTED_VALUE"""),2023.0)</f>
        <v>2023</v>
      </c>
      <c r="D594" s="8" t="str">
        <f>IFERROR(__xludf.DUMMYFUNCTION("""COMPUTED_VALUE"""),"2022/2023")</f>
        <v>2022/2023</v>
      </c>
      <c r="E594" s="9">
        <f>IFERROR(__xludf.DUMMYFUNCTION("""COMPUTED_VALUE"""),45106.0)</f>
        <v>45106</v>
      </c>
      <c r="F594" s="5" t="str">
        <f>IFERROR(__xludf.DUMMYFUNCTION("""COMPUTED_VALUE"""),"Genap")</f>
        <v>Genap</v>
      </c>
      <c r="G594" s="5" t="str">
        <f>IFERROR(__xludf.DUMMYFUNCTION("""COMPUTED_VALUE"""),"Akuntansi")</f>
        <v>Akuntansi</v>
      </c>
      <c r="H594" s="10" t="str">
        <f>IFERROR(__xludf.DUMMYFUNCTION("""COMPUTED_VALUE"""),"Mahasiswa")</f>
        <v>Mahasiswa</v>
      </c>
      <c r="I594" s="6" t="str">
        <f>IFERROR(__xludf.DUMMYFUNCTION("""COMPUTED_VALUE"""),"Rika Putri Hidayanti")</f>
        <v>Rika Putri Hidayanti</v>
      </c>
      <c r="J594" s="6" t="str">
        <f>IFERROR(__xludf.DUMMYFUNCTION("""COMPUTED_VALUE"""),"Astuning Saharsini")</f>
        <v>Astuning Saharsini</v>
      </c>
      <c r="K594" s="6"/>
      <c r="L594" s="6"/>
      <c r="M594" s="6"/>
      <c r="N594" s="6"/>
      <c r="O594" s="6"/>
      <c r="P594" s="10" t="str">
        <f>IFERROR(__xludf.DUMMYFUNCTION("""COMPUTED_VALUE"""),"Rika Putri Hidayanti,Astuning Saharsini,,")</f>
        <v>Rika Putri Hidayanti,Astuning Saharsini,,</v>
      </c>
      <c r="Q594" s="11" t="str">
        <f>IFERROR(__xludf.DUMMYFUNCTION("""COMPUTED_VALUE"""),"https://ejournal.pelitaindonesia.ac.id/ojs32/index.php/KURS/article/view/2900")</f>
        <v>https://ejournal.pelitaindonesia.ac.id/ojs32/index.php/KURS/article/view/2900</v>
      </c>
      <c r="R594" s="6"/>
    </row>
    <row r="595">
      <c r="A595" s="5">
        <f>IFERROR(__xludf.DUMMYFUNCTION("""COMPUTED_VALUE"""),594.0)</f>
        <v>594</v>
      </c>
      <c r="B595" s="6" t="str">
        <f>IFERROR(__xludf.DUMMYFUNCTION("""COMPUTED_VALUE"""),"Pengaruh Pemahaman, Penerapan dan Pemanfaatan Sistem Informasi Akuntansi Terhadap Kinerja UMKM Kota Surakarta (Studi Kasus Pada Umkm Konveksi)")</f>
        <v>Pengaruh Pemahaman, Penerapan dan Pemanfaatan Sistem Informasi Akuntansi Terhadap Kinerja UMKM Kota Surakarta (Studi Kasus Pada Umkm Konveksi)</v>
      </c>
      <c r="C595" s="7">
        <f>IFERROR(__xludf.DUMMYFUNCTION("""COMPUTED_VALUE"""),2023.0)</f>
        <v>2023</v>
      </c>
      <c r="D595" s="8" t="str">
        <f>IFERROR(__xludf.DUMMYFUNCTION("""COMPUTED_VALUE"""),"2022/2023")</f>
        <v>2022/2023</v>
      </c>
      <c r="E595" s="9">
        <f>IFERROR(__xludf.DUMMYFUNCTION("""COMPUTED_VALUE"""),45106.0)</f>
        <v>45106</v>
      </c>
      <c r="F595" s="5" t="str">
        <f>IFERROR(__xludf.DUMMYFUNCTION("""COMPUTED_VALUE"""),"Genap")</f>
        <v>Genap</v>
      </c>
      <c r="G595" s="5" t="str">
        <f>IFERROR(__xludf.DUMMYFUNCTION("""COMPUTED_VALUE"""),"Akuntansi")</f>
        <v>Akuntansi</v>
      </c>
      <c r="H595" s="10" t="str">
        <f>IFERROR(__xludf.DUMMYFUNCTION("""COMPUTED_VALUE"""),"Mahasiswa")</f>
        <v>Mahasiswa</v>
      </c>
      <c r="I595" s="6" t="str">
        <f>IFERROR(__xludf.DUMMYFUNCTION("""COMPUTED_VALUE"""),"Defi Anggun Prasasti")</f>
        <v>Defi Anggun Prasasti</v>
      </c>
      <c r="J595" s="6" t="str">
        <f>IFERROR(__xludf.DUMMYFUNCTION("""COMPUTED_VALUE"""),"Eko Triyanto")</f>
        <v>Eko Triyanto</v>
      </c>
      <c r="K595" s="6"/>
      <c r="L595" s="6"/>
      <c r="M595" s="6"/>
      <c r="N595" s="6"/>
      <c r="O595" s="6"/>
      <c r="P595" s="10" t="str">
        <f>IFERROR(__xludf.DUMMYFUNCTION("""COMPUTED_VALUE"""),"Defi Anggun Prasasti,Eko Triyanto,,")</f>
        <v>Defi Anggun Prasasti,Eko Triyanto,,</v>
      </c>
      <c r="Q595" s="11" t="str">
        <f>IFERROR(__xludf.DUMMYFUNCTION("""COMPUTED_VALUE"""),"https://ejournal.pelitaindonesia.ac.id/ojs32/index.php/KURS/article/view/2890")</f>
        <v>https://ejournal.pelitaindonesia.ac.id/ojs32/index.php/KURS/article/view/2890</v>
      </c>
      <c r="R595" s="6"/>
    </row>
    <row r="596">
      <c r="A596" s="5">
        <f>IFERROR(__xludf.DUMMYFUNCTION("""COMPUTED_VALUE"""),595.0)</f>
        <v>595</v>
      </c>
      <c r="B596" s="6" t="str">
        <f>IFERROR(__xludf.DUMMYFUNCTION("""COMPUTED_VALUE"""),"Pengaruh Harga, Persepsi Kualitas, Citra Merek Dan Kepercayaan Merek Terhadap Keputusan Pembelian Mitsubishi Xpander Di Provinsi Jawa Tengah")</f>
        <v>Pengaruh Harga, Persepsi Kualitas, Citra Merek Dan Kepercayaan Merek Terhadap Keputusan Pembelian Mitsubishi Xpander Di Provinsi Jawa Tengah</v>
      </c>
      <c r="C596" s="7">
        <f>IFERROR(__xludf.DUMMYFUNCTION("""COMPUTED_VALUE"""),2023.0)</f>
        <v>2023</v>
      </c>
      <c r="D596" s="8" t="str">
        <f>IFERROR(__xludf.DUMMYFUNCTION("""COMPUTED_VALUE"""),"2022/2023")</f>
        <v>2022/2023</v>
      </c>
      <c r="E596" s="9">
        <f>IFERROR(__xludf.DUMMYFUNCTION("""COMPUTED_VALUE"""),45107.0)</f>
        <v>45107</v>
      </c>
      <c r="F596" s="5" t="str">
        <f>IFERROR(__xludf.DUMMYFUNCTION("""COMPUTED_VALUE"""),"Genap")</f>
        <v>Genap</v>
      </c>
      <c r="G596" s="5" t="str">
        <f>IFERROR(__xludf.DUMMYFUNCTION("""COMPUTED_VALUE"""),"Manajemen")</f>
        <v>Manajemen</v>
      </c>
      <c r="H596" s="10" t="str">
        <f>IFERROR(__xludf.DUMMYFUNCTION("""COMPUTED_VALUE"""),"Mahasiswa")</f>
        <v>Mahasiswa</v>
      </c>
      <c r="I596" s="6" t="str">
        <f>IFERROR(__xludf.DUMMYFUNCTION("""COMPUTED_VALUE"""),"Irsyad Octoviandre Sharliz")</f>
        <v>Irsyad Octoviandre Sharliz</v>
      </c>
      <c r="J596" s="6" t="str">
        <f>IFERROR(__xludf.DUMMYFUNCTION("""COMPUTED_VALUE"""),"Atik Lusia")</f>
        <v>Atik Lusia</v>
      </c>
      <c r="K596" s="6"/>
      <c r="L596" s="6"/>
      <c r="M596" s="6"/>
      <c r="N596" s="6"/>
      <c r="O596" s="6"/>
      <c r="P596" s="10" t="str">
        <f>IFERROR(__xludf.DUMMYFUNCTION("""COMPUTED_VALUE"""),"Irsyad Octoviandre Sharliz,Atik Lusia,,")</f>
        <v>Irsyad Octoviandre Sharliz,Atik Lusia,,</v>
      </c>
      <c r="Q596" s="11" t="str">
        <f>IFERROR(__xludf.DUMMYFUNCTION("""COMPUTED_VALUE"""),"https://researchhub.id/index.php/optimal/article/view/1424")</f>
        <v>https://researchhub.id/index.php/optimal/article/view/1424</v>
      </c>
      <c r="R596" s="6"/>
    </row>
    <row r="597">
      <c r="A597" s="5">
        <f>IFERROR(__xludf.DUMMYFUNCTION("""COMPUTED_VALUE"""),596.0)</f>
        <v>596</v>
      </c>
      <c r="B597" s="6" t="str">
        <f>IFERROR(__xludf.DUMMYFUNCTION("""COMPUTED_VALUE"""),"Pengaruh Desain Produk, Gaya Hidup, Kepercayaan Merek Dan Pengalaman Pengguna Terhadap Keputusan Pembelian Sepeda Motor Honda Pcx Di Kota Klaten")</f>
        <v>Pengaruh Desain Produk, Gaya Hidup, Kepercayaan Merek Dan Pengalaman Pengguna Terhadap Keputusan Pembelian Sepeda Motor Honda Pcx Di Kota Klaten</v>
      </c>
      <c r="C597" s="7">
        <f>IFERROR(__xludf.DUMMYFUNCTION("""COMPUTED_VALUE"""),2023.0)</f>
        <v>2023</v>
      </c>
      <c r="D597" s="8" t="str">
        <f>IFERROR(__xludf.DUMMYFUNCTION("""COMPUTED_VALUE"""),"2022/2023")</f>
        <v>2022/2023</v>
      </c>
      <c r="E597" s="9">
        <f>IFERROR(__xludf.DUMMYFUNCTION("""COMPUTED_VALUE"""),45107.0)</f>
        <v>45107</v>
      </c>
      <c r="F597" s="5" t="str">
        <f>IFERROR(__xludf.DUMMYFUNCTION("""COMPUTED_VALUE"""),"Genap")</f>
        <v>Genap</v>
      </c>
      <c r="G597" s="5" t="str">
        <f>IFERROR(__xludf.DUMMYFUNCTION("""COMPUTED_VALUE"""),"Manajemen")</f>
        <v>Manajemen</v>
      </c>
      <c r="H597" s="10" t="str">
        <f>IFERROR(__xludf.DUMMYFUNCTION("""COMPUTED_VALUE"""),"Mahasiswa")</f>
        <v>Mahasiswa</v>
      </c>
      <c r="I597" s="6" t="str">
        <f>IFERROR(__xludf.DUMMYFUNCTION("""COMPUTED_VALUE"""),"Hendra Laksana Putra")</f>
        <v>Hendra Laksana Putra</v>
      </c>
      <c r="J597" s="6" t="str">
        <f>IFERROR(__xludf.DUMMYFUNCTION("""COMPUTED_VALUE"""),"Atik Lusia")</f>
        <v>Atik Lusia</v>
      </c>
      <c r="K597" s="6"/>
      <c r="L597" s="6"/>
      <c r="M597" s="6"/>
      <c r="N597" s="6"/>
      <c r="O597" s="6"/>
      <c r="P597" s="10" t="str">
        <f>IFERROR(__xludf.DUMMYFUNCTION("""COMPUTED_VALUE"""),"Hendra Laksana Putra,Atik Lusia,,")</f>
        <v>Hendra Laksana Putra,Atik Lusia,,</v>
      </c>
      <c r="Q597" s="11" t="str">
        <f>IFERROR(__xludf.DUMMYFUNCTION("""COMPUTED_VALUE"""),"https://e-journal.poltek-kampar.ac.id/index.php/MASIP/article/view/213/200")</f>
        <v>https://e-journal.poltek-kampar.ac.id/index.php/MASIP/article/view/213/200</v>
      </c>
      <c r="R597" s="6"/>
    </row>
    <row r="598">
      <c r="A598" s="5">
        <f>IFERROR(__xludf.DUMMYFUNCTION("""COMPUTED_VALUE"""),597.0)</f>
        <v>597</v>
      </c>
      <c r="B598" s="6" t="str">
        <f>IFERROR(__xludf.DUMMYFUNCTION("""COMPUTED_VALUE"""),"Analisis Faktor Yang Mempengaruhi Minat Beli Koleksi Kebaya Mega Arum Collection Klaten")</f>
        <v>Analisis Faktor Yang Mempengaruhi Minat Beli Koleksi Kebaya Mega Arum Collection Klaten</v>
      </c>
      <c r="C598" s="7">
        <f>IFERROR(__xludf.DUMMYFUNCTION("""COMPUTED_VALUE"""),2023.0)</f>
        <v>2023</v>
      </c>
      <c r="D598" s="8" t="str">
        <f>IFERROR(__xludf.DUMMYFUNCTION("""COMPUTED_VALUE"""),"2022/2023")</f>
        <v>2022/2023</v>
      </c>
      <c r="E598" s="9">
        <f>IFERROR(__xludf.DUMMYFUNCTION("""COMPUTED_VALUE"""),45107.0)</f>
        <v>45107</v>
      </c>
      <c r="F598" s="5" t="str">
        <f>IFERROR(__xludf.DUMMYFUNCTION("""COMPUTED_VALUE"""),"Genap")</f>
        <v>Genap</v>
      </c>
      <c r="G598" s="5" t="str">
        <f>IFERROR(__xludf.DUMMYFUNCTION("""COMPUTED_VALUE"""),"Manajemen")</f>
        <v>Manajemen</v>
      </c>
      <c r="H598" s="10" t="str">
        <f>IFERROR(__xludf.DUMMYFUNCTION("""COMPUTED_VALUE"""),"Mahasiswa")</f>
        <v>Mahasiswa</v>
      </c>
      <c r="I598" s="6" t="str">
        <f>IFERROR(__xludf.DUMMYFUNCTION("""COMPUTED_VALUE"""),"Vika Apriliyani")</f>
        <v>Vika Apriliyani</v>
      </c>
      <c r="J598" s="6" t="str">
        <f>IFERROR(__xludf.DUMMYFUNCTION("""COMPUTED_VALUE"""),"Ari Susanti")</f>
        <v>Ari Susanti</v>
      </c>
      <c r="K598" s="6"/>
      <c r="L598" s="6"/>
      <c r="M598" s="6"/>
      <c r="N598" s="6"/>
      <c r="O598" s="6"/>
      <c r="P598" s="10" t="str">
        <f>IFERROR(__xludf.DUMMYFUNCTION("""COMPUTED_VALUE"""),"Vika Apriliyani,Ari Susanti,,")</f>
        <v>Vika Apriliyani,Ari Susanti,,</v>
      </c>
      <c r="Q598" s="11" t="str">
        <f>IFERROR(__xludf.DUMMYFUNCTION("""COMPUTED_VALUE"""),"http://journal.uyr.ac.id/index.php/JAB/article/view/52-66")</f>
        <v>http://journal.uyr.ac.id/index.php/JAB/article/view/52-66</v>
      </c>
      <c r="R598" s="6"/>
    </row>
    <row r="599">
      <c r="A599" s="5">
        <f>IFERROR(__xludf.DUMMYFUNCTION("""COMPUTED_VALUE"""),598.0)</f>
        <v>598</v>
      </c>
      <c r="B599" s="6" t="str">
        <f>IFERROR(__xludf.DUMMYFUNCTION("""COMPUTED_VALUE"""),"Analisis Hubungan Intellectual Capital dan Struktur Modal (Studi Kasus Pada Perbankan Syariah di BEI Selama Masa Pandemi Covid - 19)")</f>
        <v>Analisis Hubungan Intellectual Capital dan Struktur Modal (Studi Kasus Pada Perbankan Syariah di BEI Selama Masa Pandemi Covid - 19)</v>
      </c>
      <c r="C599" s="7">
        <f>IFERROR(__xludf.DUMMYFUNCTION("""COMPUTED_VALUE"""),2023.0)</f>
        <v>2023</v>
      </c>
      <c r="D599" s="8" t="str">
        <f>IFERROR(__xludf.DUMMYFUNCTION("""COMPUTED_VALUE"""),"2022/2023")</f>
        <v>2022/2023</v>
      </c>
      <c r="E599" s="9">
        <f>IFERROR(__xludf.DUMMYFUNCTION("""COMPUTED_VALUE"""),45107.0)</f>
        <v>45107</v>
      </c>
      <c r="F599" s="5" t="str">
        <f>IFERROR(__xludf.DUMMYFUNCTION("""COMPUTED_VALUE"""),"Genap")</f>
        <v>Genap</v>
      </c>
      <c r="G599" s="5" t="str">
        <f>IFERROR(__xludf.DUMMYFUNCTION("""COMPUTED_VALUE"""),"Akuntansi")</f>
        <v>Akuntansi</v>
      </c>
      <c r="H599" s="10" t="str">
        <f>IFERROR(__xludf.DUMMYFUNCTION("""COMPUTED_VALUE"""),"Dosen")</f>
        <v>Dosen</v>
      </c>
      <c r="I599" s="6" t="str">
        <f>IFERROR(__xludf.DUMMYFUNCTION("""COMPUTED_VALUE"""),"Rosita")</f>
        <v>Rosita</v>
      </c>
      <c r="J599" s="6" t="str">
        <f>IFERROR(__xludf.DUMMYFUNCTION("""COMPUTED_VALUE"""),"Fatlina Zainudin")</f>
        <v>Fatlina Zainudin</v>
      </c>
      <c r="K599" s="6" t="str">
        <f>IFERROR(__xludf.DUMMYFUNCTION("""COMPUTED_VALUE"""),"Heri Susanto")</f>
        <v>Heri Susanto</v>
      </c>
      <c r="L599" s="6"/>
      <c r="M599" s="6"/>
      <c r="N599" s="6"/>
      <c r="O599" s="6"/>
      <c r="P599" s="10" t="str">
        <f>IFERROR(__xludf.DUMMYFUNCTION("""COMPUTED_VALUE"""),"Rosita,Fatlina Zainudin,Heri Susanto,")</f>
        <v>Rosita,Fatlina Zainudin,Heri Susanto,</v>
      </c>
      <c r="Q599" s="11" t="str">
        <f>IFERROR(__xludf.DUMMYFUNCTION("""COMPUTED_VALUE"""),"https://ulilalbabinstitute.id/index.php/EKOMA/article/view/595")</f>
        <v>https://ulilalbabinstitute.id/index.php/EKOMA/article/view/595</v>
      </c>
      <c r="R599" s="6"/>
    </row>
    <row r="600">
      <c r="A600" s="5">
        <f>IFERROR(__xludf.DUMMYFUNCTION("""COMPUTED_VALUE"""),599.0)</f>
        <v>599</v>
      </c>
      <c r="B600" s="6" t="str">
        <f>IFERROR(__xludf.DUMMYFUNCTION("""COMPUTED_VALUE"""),"Prospek Ekonomi Syariah Melalui Penguatan Kspps Bmt: Implementasi Nilai-Nilai Ekonomi Syariah Dalam Dunia Bisnis")</f>
        <v>Prospek Ekonomi Syariah Melalui Penguatan Kspps Bmt: Implementasi Nilai-Nilai Ekonomi Syariah Dalam Dunia Bisnis</v>
      </c>
      <c r="C600" s="7">
        <f>IFERROR(__xludf.DUMMYFUNCTION("""COMPUTED_VALUE"""),2023.0)</f>
        <v>2023</v>
      </c>
      <c r="D600" s="8" t="str">
        <f>IFERROR(__xludf.DUMMYFUNCTION("""COMPUTED_VALUE"""),"2022/2023")</f>
        <v>2022/2023</v>
      </c>
      <c r="E600" s="9">
        <f>IFERROR(__xludf.DUMMYFUNCTION("""COMPUTED_VALUE"""),45107.0)</f>
        <v>45107</v>
      </c>
      <c r="F600" s="5" t="str">
        <f>IFERROR(__xludf.DUMMYFUNCTION("""COMPUTED_VALUE"""),"Genap")</f>
        <v>Genap</v>
      </c>
      <c r="G600" s="5" t="str">
        <f>IFERROR(__xludf.DUMMYFUNCTION("""COMPUTED_VALUE"""),"Manajemen")</f>
        <v>Manajemen</v>
      </c>
      <c r="H600" s="10" t="str">
        <f>IFERROR(__xludf.DUMMYFUNCTION("""COMPUTED_VALUE"""),"Dosen")</f>
        <v>Dosen</v>
      </c>
      <c r="I600" s="6" t="str">
        <f>IFERROR(__xludf.DUMMYFUNCTION("""COMPUTED_VALUE"""),"Muhammad Jalari")</f>
        <v>Muhammad Jalari</v>
      </c>
      <c r="J600" s="6" t="str">
        <f>IFERROR(__xludf.DUMMYFUNCTION("""COMPUTED_VALUE"""),"Christiawan Hendratmoko")</f>
        <v>Christiawan Hendratmoko</v>
      </c>
      <c r="K600" s="6" t="str">
        <f>IFERROR(__xludf.DUMMYFUNCTION("""COMPUTED_VALUE"""),"Arif Nugroho Rachman")</f>
        <v>Arif Nugroho Rachman</v>
      </c>
      <c r="L600" s="6"/>
      <c r="M600" s="6"/>
      <c r="N600" s="6"/>
      <c r="O600" s="6"/>
      <c r="P600" s="10" t="str">
        <f>IFERROR(__xludf.DUMMYFUNCTION("""COMPUTED_VALUE"""),"Muhammad Jalari,Christiawan Hendratmoko,Arif Nugroho Rachman,")</f>
        <v>Muhammad Jalari,Christiawan Hendratmoko,Arif Nugroho Rachman,</v>
      </c>
      <c r="Q600" s="11" t="str">
        <f>IFERROR(__xludf.DUMMYFUNCTION("""COMPUTED_VALUE"""),"https://jurnalpengabdian.stiesurakarta.ac.id/index.php/Dms/article/view/26")</f>
        <v>https://jurnalpengabdian.stiesurakarta.ac.id/index.php/Dms/article/view/26</v>
      </c>
      <c r="R600" s="6"/>
    </row>
    <row r="601">
      <c r="A601" s="5">
        <f>IFERROR(__xludf.DUMMYFUNCTION("""COMPUTED_VALUE"""),600.0)</f>
        <v>600</v>
      </c>
      <c r="B601" s="6" t="str">
        <f>IFERROR(__xludf.DUMMYFUNCTION("""COMPUTED_VALUE"""),"Optimalisasi Marketing bagi UMKM Bandar BumBon")</f>
        <v>Optimalisasi Marketing bagi UMKM Bandar BumBon</v>
      </c>
      <c r="C601" s="7">
        <f>IFERROR(__xludf.DUMMYFUNCTION("""COMPUTED_VALUE"""),2023.0)</f>
        <v>2023</v>
      </c>
      <c r="D601" s="8" t="str">
        <f>IFERROR(__xludf.DUMMYFUNCTION("""COMPUTED_VALUE"""),"2022/2023")</f>
        <v>2022/2023</v>
      </c>
      <c r="E601" s="9">
        <f>IFERROR(__xludf.DUMMYFUNCTION("""COMPUTED_VALUE"""),45107.0)</f>
        <v>45107</v>
      </c>
      <c r="F601" s="5" t="str">
        <f>IFERROR(__xludf.DUMMYFUNCTION("""COMPUTED_VALUE"""),"Genap")</f>
        <v>Genap</v>
      </c>
      <c r="G601" s="5" t="str">
        <f>IFERROR(__xludf.DUMMYFUNCTION("""COMPUTED_VALUE"""),"Manajemen")</f>
        <v>Manajemen</v>
      </c>
      <c r="H601" s="10" t="str">
        <f>IFERROR(__xludf.DUMMYFUNCTION("""COMPUTED_VALUE"""),"Dosen")</f>
        <v>Dosen</v>
      </c>
      <c r="I601" s="6" t="str">
        <f>IFERROR(__xludf.DUMMYFUNCTION("""COMPUTED_VALUE"""),"Atik Lusia")</f>
        <v>Atik Lusia</v>
      </c>
      <c r="J601" s="6" t="str">
        <f>IFERROR(__xludf.DUMMYFUNCTION("""COMPUTED_VALUE"""),"Muhammad Luqman Hakim")</f>
        <v>Muhammad Luqman Hakim</v>
      </c>
      <c r="K601" s="6" t="str">
        <f>IFERROR(__xludf.DUMMYFUNCTION("""COMPUTED_VALUE"""),"Heti Ovi")</f>
        <v>Heti Ovi</v>
      </c>
      <c r="L601" s="6" t="str">
        <f>IFERROR(__xludf.DUMMYFUNCTION("""COMPUTED_VALUE"""),"Septia Putri")</f>
        <v>Septia Putri</v>
      </c>
      <c r="M601" s="6"/>
      <c r="N601" s="6"/>
      <c r="O601" s="6"/>
      <c r="P601" s="10" t="str">
        <f>IFERROR(__xludf.DUMMYFUNCTION("""COMPUTED_VALUE"""),"Atik Lusia,Muhammad Luqman Hakim,Heti Ovi,Septia Putri")</f>
        <v>Atik Lusia,Muhammad Luqman Hakim,Heti Ovi,Septia Putri</v>
      </c>
      <c r="Q601" s="11" t="str">
        <f>IFERROR(__xludf.DUMMYFUNCTION("""COMPUTED_VALUE"""),"https://jurnalpengabdian.stiesurakarta.ac.id/index.php/Dms/article/view/41")</f>
        <v>https://jurnalpengabdian.stiesurakarta.ac.id/index.php/Dms/article/view/41</v>
      </c>
      <c r="R601" s="6"/>
    </row>
    <row r="602">
      <c r="A602" s="5">
        <f>IFERROR(__xludf.DUMMYFUNCTION("""COMPUTED_VALUE"""),601.0)</f>
        <v>601</v>
      </c>
      <c r="B602" s="6" t="str">
        <f>IFERROR(__xludf.DUMMYFUNCTION("""COMPUTED_VALUE"""),"Menguji Kinerja Pemasaran Terhadap Keputusan Pembelian Produk Scarlett")</f>
        <v>Menguji Kinerja Pemasaran Terhadap Keputusan Pembelian Produk Scarlett</v>
      </c>
      <c r="C602" s="7">
        <f>IFERROR(__xludf.DUMMYFUNCTION("""COMPUTED_VALUE"""),2023.0)</f>
        <v>2023</v>
      </c>
      <c r="D602" s="8" t="str">
        <f>IFERROR(__xludf.DUMMYFUNCTION("""COMPUTED_VALUE"""),"2022/2023")</f>
        <v>2022/2023</v>
      </c>
      <c r="E602" s="9">
        <f>IFERROR(__xludf.DUMMYFUNCTION("""COMPUTED_VALUE"""),45108.0)</f>
        <v>45108</v>
      </c>
      <c r="F602" s="5" t="str">
        <f>IFERROR(__xludf.DUMMYFUNCTION("""COMPUTED_VALUE"""),"Genap")</f>
        <v>Genap</v>
      </c>
      <c r="G602" s="5" t="str">
        <f>IFERROR(__xludf.DUMMYFUNCTION("""COMPUTED_VALUE"""),"Manajemen")</f>
        <v>Manajemen</v>
      </c>
      <c r="H602" s="10" t="str">
        <f>IFERROR(__xludf.DUMMYFUNCTION("""COMPUTED_VALUE"""),"Dosen")</f>
        <v>Dosen</v>
      </c>
      <c r="I602" s="6" t="str">
        <f>IFERROR(__xludf.DUMMYFUNCTION("""COMPUTED_VALUE"""),"Muhammad Jalari")</f>
        <v>Muhammad Jalari</v>
      </c>
      <c r="J602" s="6" t="str">
        <f>IFERROR(__xludf.DUMMYFUNCTION("""COMPUTED_VALUE"""),"Titin Hargyatni")</f>
        <v>Titin Hargyatni</v>
      </c>
      <c r="K602" s="6"/>
      <c r="L602" s="6"/>
      <c r="M602" s="6"/>
      <c r="N602" s="6"/>
      <c r="O602" s="6"/>
      <c r="P602" s="10" t="str">
        <f>IFERROR(__xludf.DUMMYFUNCTION("""COMPUTED_VALUE"""),"Muhammad Jalari,Titin Hargyatni,,")</f>
        <v>Muhammad Jalari,Titin Hargyatni,,</v>
      </c>
      <c r="Q602" s="11" t="str">
        <f>IFERROR(__xludf.DUMMYFUNCTION("""COMPUTED_VALUE"""),"https://www.researchgate.net/publication/375760015_MENGUJI_KINERJA_PEMASARAN_TERHADAP_KEPUTUSAN_PEMBELIAN_PRODUK_SCARLETT")</f>
        <v>https://www.researchgate.net/publication/375760015_MENGUJI_KINERJA_PEMASARAN_TERHADAP_KEPUTUSAN_PEMBELIAN_PRODUK_SCARLETT</v>
      </c>
      <c r="R602" s="6"/>
    </row>
    <row r="603">
      <c r="A603" s="5">
        <f>IFERROR(__xludf.DUMMYFUNCTION("""COMPUTED_VALUE"""),602.0)</f>
        <v>602</v>
      </c>
      <c r="B603" s="6" t="str">
        <f>IFERROR(__xludf.DUMMYFUNCTION("""COMPUTED_VALUE"""),"Menguji Kinerja Pemasaran terhadap keputusan pembelian produk Scarlet")</f>
        <v>Menguji Kinerja Pemasaran terhadap keputusan pembelian produk Scarlet</v>
      </c>
      <c r="C603" s="7">
        <f>IFERROR(__xludf.DUMMYFUNCTION("""COMPUTED_VALUE"""),2023.0)</f>
        <v>2023</v>
      </c>
      <c r="D603" s="8" t="str">
        <f>IFERROR(__xludf.DUMMYFUNCTION("""COMPUTED_VALUE"""),"2022/2023")</f>
        <v>2022/2023</v>
      </c>
      <c r="E603" s="9">
        <f>IFERROR(__xludf.DUMMYFUNCTION("""COMPUTED_VALUE"""),45111.0)</f>
        <v>45111</v>
      </c>
      <c r="F603" s="5" t="str">
        <f>IFERROR(__xludf.DUMMYFUNCTION("""COMPUTED_VALUE"""),"Genap")</f>
        <v>Genap</v>
      </c>
      <c r="G603" s="5" t="str">
        <f>IFERROR(__xludf.DUMMYFUNCTION("""COMPUTED_VALUE"""),"Manajemen")</f>
        <v>Manajemen</v>
      </c>
      <c r="H603" s="10" t="str">
        <f>IFERROR(__xludf.DUMMYFUNCTION("""COMPUTED_VALUE"""),"Dosen")</f>
        <v>Dosen</v>
      </c>
      <c r="I603" s="6" t="str">
        <f>IFERROR(__xludf.DUMMYFUNCTION("""COMPUTED_VALUE"""),"Muhammad Jalari")</f>
        <v>Muhammad Jalari</v>
      </c>
      <c r="J603" s="6" t="str">
        <f>IFERROR(__xludf.DUMMYFUNCTION("""COMPUTED_VALUE"""),"Titin Hargyatni")</f>
        <v>Titin Hargyatni</v>
      </c>
      <c r="K603" s="6"/>
      <c r="L603" s="6"/>
      <c r="M603" s="6"/>
      <c r="N603" s="6"/>
      <c r="O603" s="6"/>
      <c r="P603" s="10" t="str">
        <f>IFERROR(__xludf.DUMMYFUNCTION("""COMPUTED_VALUE"""),"Muhammad Jalari,Titin Hargyatni,,")</f>
        <v>Muhammad Jalari,Titin Hargyatni,,</v>
      </c>
      <c r="Q603" s="11" t="str">
        <f>IFERROR(__xludf.DUMMYFUNCTION("""COMPUTED_VALUE"""),"https://garuda.kemdikbud.go.id/documents/detail/3571896")</f>
        <v>https://garuda.kemdikbud.go.id/documents/detail/3571896</v>
      </c>
      <c r="R603" s="6"/>
    </row>
    <row r="604">
      <c r="A604" s="5">
        <f>IFERROR(__xludf.DUMMYFUNCTION("""COMPUTED_VALUE"""),603.0)</f>
        <v>603</v>
      </c>
      <c r="B604" s="6" t="str">
        <f>IFERROR(__xludf.DUMMYFUNCTION("""COMPUTED_VALUE"""),"Pengaruh Live Streaming Video Promotion, Diskon Harga, Online Costumer Review Saat Live Streaming Tiktok Terhadap Keputusan Pembelian")</f>
        <v>Pengaruh Live Streaming Video Promotion, Diskon Harga, Online Costumer Review Saat Live Streaming Tiktok Terhadap Keputusan Pembelian</v>
      </c>
      <c r="C604" s="7">
        <f>IFERROR(__xludf.DUMMYFUNCTION("""COMPUTED_VALUE"""),2023.0)</f>
        <v>2023</v>
      </c>
      <c r="D604" s="8" t="str">
        <f>IFERROR(__xludf.DUMMYFUNCTION("""COMPUTED_VALUE"""),"2022/2023")</f>
        <v>2022/2023</v>
      </c>
      <c r="E604" s="9">
        <f>IFERROR(__xludf.DUMMYFUNCTION("""COMPUTED_VALUE"""),45117.0)</f>
        <v>45117</v>
      </c>
      <c r="F604" s="5" t="str">
        <f>IFERROR(__xludf.DUMMYFUNCTION("""COMPUTED_VALUE"""),"Genap")</f>
        <v>Genap</v>
      </c>
      <c r="G604" s="5" t="str">
        <f>IFERROR(__xludf.DUMMYFUNCTION("""COMPUTED_VALUE"""),"Manajemen")</f>
        <v>Manajemen</v>
      </c>
      <c r="H604" s="10" t="str">
        <f>IFERROR(__xludf.DUMMYFUNCTION("""COMPUTED_VALUE"""),"Mahasiswa")</f>
        <v>Mahasiswa</v>
      </c>
      <c r="I604" s="6" t="str">
        <f>IFERROR(__xludf.DUMMYFUNCTION("""COMPUTED_VALUE"""),"Riska Dwi Arrohma")</f>
        <v>Riska Dwi Arrohma</v>
      </c>
      <c r="J604" s="6" t="str">
        <f>IFERROR(__xludf.DUMMYFUNCTION("""COMPUTED_VALUE"""),"Budi Istiyanto")</f>
        <v>Budi Istiyanto</v>
      </c>
      <c r="K604" s="6"/>
      <c r="L604" s="6"/>
      <c r="M604" s="6"/>
      <c r="N604" s="6"/>
      <c r="O604" s="6"/>
      <c r="P604" s="10" t="str">
        <f>IFERROR(__xludf.DUMMYFUNCTION("""COMPUTED_VALUE"""),"Riska Dwi Arrohma,Budi Istiyanto,,")</f>
        <v>Riska Dwi Arrohma,Budi Istiyanto,,</v>
      </c>
      <c r="Q604" s="11" t="str">
        <f>IFERROR(__xludf.DUMMYFUNCTION("""COMPUTED_VALUE"""),"https://e-journal.poltek-kampar.ac.id/index.php/DINAMIKAPUBLIK/article/view/266")</f>
        <v>https://e-journal.poltek-kampar.ac.id/index.php/DINAMIKAPUBLIK/article/view/266</v>
      </c>
      <c r="R604" s="6"/>
    </row>
    <row r="605">
      <c r="A605" s="5">
        <f>IFERROR(__xludf.DUMMYFUNCTION("""COMPUTED_VALUE"""),604.0)</f>
        <v>604</v>
      </c>
      <c r="B605" s="6" t="str">
        <f>IFERROR(__xludf.DUMMYFUNCTION("""COMPUTED_VALUE"""),"PENGARUH PEMAHAMAN DASAR AKUNTANSI, PEMAHAMAN SAK EMKM, DAN KESIAPAN UMKM TERHADAP IMPLEMENTASI SAK EMKM (STUDI KASUS PADA UMKM BTC SOLO)")</f>
        <v>PENGARUH PEMAHAMAN DASAR AKUNTANSI, PEMAHAMAN SAK EMKM, DAN KESIAPAN UMKM TERHADAP IMPLEMENTASI SAK EMKM (STUDI KASUS PADA UMKM BTC SOLO)</v>
      </c>
      <c r="C605" s="7">
        <f>IFERROR(__xludf.DUMMYFUNCTION("""COMPUTED_VALUE"""),2023.0)</f>
        <v>2023</v>
      </c>
      <c r="D605" s="8" t="str">
        <f>IFERROR(__xludf.DUMMYFUNCTION("""COMPUTED_VALUE"""),"2022/2023")</f>
        <v>2022/2023</v>
      </c>
      <c r="E605" s="9">
        <f>IFERROR(__xludf.DUMMYFUNCTION("""COMPUTED_VALUE"""),45117.0)</f>
        <v>45117</v>
      </c>
      <c r="F605" s="5" t="str">
        <f>IFERROR(__xludf.DUMMYFUNCTION("""COMPUTED_VALUE"""),"Genap")</f>
        <v>Genap</v>
      </c>
      <c r="G605" s="5" t="str">
        <f>IFERROR(__xludf.DUMMYFUNCTION("""COMPUTED_VALUE"""),"Akuntansi")</f>
        <v>Akuntansi</v>
      </c>
      <c r="H605" s="10" t="str">
        <f>IFERROR(__xludf.DUMMYFUNCTION("""COMPUTED_VALUE"""),"Mahasiswa")</f>
        <v>Mahasiswa</v>
      </c>
      <c r="I605" s="6" t="str">
        <f>IFERROR(__xludf.DUMMYFUNCTION("""COMPUTED_VALUE"""),"Sekar Ayu Kristi Setyo N")</f>
        <v>Sekar Ayu Kristi Setyo N</v>
      </c>
      <c r="J605" s="6" t="str">
        <f>IFERROR(__xludf.DUMMYFUNCTION("""COMPUTED_VALUE"""),"Eko Triyanto")</f>
        <v>Eko Triyanto</v>
      </c>
      <c r="K605" s="6"/>
      <c r="L605" s="6"/>
      <c r="M605" s="6"/>
      <c r="N605" s="6"/>
      <c r="O605" s="6"/>
      <c r="P605" s="10" t="str">
        <f>IFERROR(__xludf.DUMMYFUNCTION("""COMPUTED_VALUE"""),"Sekar Ayu Kristi Setyo N,Eko Triyanto,,")</f>
        <v>Sekar Ayu Kristi Setyo N,Eko Triyanto,,</v>
      </c>
      <c r="Q605" s="11" t="str">
        <f>IFERROR(__xludf.DUMMYFUNCTION("""COMPUTED_VALUE"""),"https://ejournal.nusantaraglobal.ac.id/index.php/sentri/article/view/1175")</f>
        <v>https://ejournal.nusantaraglobal.ac.id/index.php/sentri/article/view/1175</v>
      </c>
      <c r="R605" s="6"/>
    </row>
    <row r="606">
      <c r="A606" s="5">
        <f>IFERROR(__xludf.DUMMYFUNCTION("""COMPUTED_VALUE"""),605.0)</f>
        <v>605</v>
      </c>
      <c r="B606" s="6" t="str">
        <f>IFERROR(__xludf.DUMMYFUNCTION("""COMPUTED_VALUE"""),"Model Regresi Logistik Biner Pada Minat Bekerja Di Luar Kota")</f>
        <v>Model Regresi Logistik Biner Pada Minat Bekerja Di Luar Kota</v>
      </c>
      <c r="C606" s="7">
        <f>IFERROR(__xludf.DUMMYFUNCTION("""COMPUTED_VALUE"""),2023.0)</f>
        <v>2023</v>
      </c>
      <c r="D606" s="8" t="str">
        <f>IFERROR(__xludf.DUMMYFUNCTION("""COMPUTED_VALUE"""),"2022/2023")</f>
        <v>2022/2023</v>
      </c>
      <c r="E606" s="9">
        <f>IFERROR(__xludf.DUMMYFUNCTION("""COMPUTED_VALUE"""),45119.0)</f>
        <v>45119</v>
      </c>
      <c r="F606" s="5" t="str">
        <f>IFERROR(__xludf.DUMMYFUNCTION("""COMPUTED_VALUE"""),"Genap")</f>
        <v>Genap</v>
      </c>
      <c r="G606" s="5" t="str">
        <f>IFERROR(__xludf.DUMMYFUNCTION("""COMPUTED_VALUE"""),"")</f>
        <v/>
      </c>
      <c r="H606" s="10" t="str">
        <f>IFERROR(__xludf.DUMMYFUNCTION("""COMPUTED_VALUE"""),"Mahasiswa")</f>
        <v>Mahasiswa</v>
      </c>
      <c r="I606" s="6" t="str">
        <f>IFERROR(__xludf.DUMMYFUNCTION("""COMPUTED_VALUE"""),"Ningrum Fajar Wati")</f>
        <v>Ningrum Fajar Wati</v>
      </c>
      <c r="J606" s="6" t="str">
        <f>IFERROR(__xludf.DUMMYFUNCTION("""COMPUTED_VALUE"""),"Ida Ayu Rachmawati Kusasih")</f>
        <v>Ida Ayu Rachmawati Kusasih</v>
      </c>
      <c r="K606" s="6"/>
      <c r="L606" s="6"/>
      <c r="M606" s="6"/>
      <c r="N606" s="6"/>
      <c r="O606" s="6"/>
      <c r="P606" s="10" t="str">
        <f>IFERROR(__xludf.DUMMYFUNCTION("""COMPUTED_VALUE"""),"Ningrum Fajar Wati,Ida Ayu Rachmawati Kusasih,,")</f>
        <v>Ningrum Fajar Wati,Ida Ayu Rachmawati Kusasih,,</v>
      </c>
      <c r="Q606" s="11" t="str">
        <f>IFERROR(__xludf.DUMMYFUNCTION("""COMPUTED_VALUE"""),"https://ejournal.uby.ac.id/index.php/ekobis/article/view/1029")</f>
        <v>https://ejournal.uby.ac.id/index.php/ekobis/article/view/1029</v>
      </c>
      <c r="R606" s="6"/>
    </row>
    <row r="607">
      <c r="A607" s="5">
        <f>IFERROR(__xludf.DUMMYFUNCTION("""COMPUTED_VALUE"""),606.0)</f>
        <v>606</v>
      </c>
      <c r="B607" s="6" t="str">
        <f>IFERROR(__xludf.DUMMYFUNCTION("""COMPUTED_VALUE"""),"PENGARUH KEMUDAHAN PENGGUNAAN, KUALITAS LAYANAN DAN KEAMANAN TERHADAP KEPUTUSAN PENGGUNAAN JASA MARKETPLACE TOKOPEDIA (STUDI KASUS SELLER TOKOPEDIA)")</f>
        <v>PENGARUH KEMUDAHAN PENGGUNAAN, KUALITAS LAYANAN DAN KEAMANAN TERHADAP KEPUTUSAN PENGGUNAAN JASA MARKETPLACE TOKOPEDIA (STUDI KASUS SELLER TOKOPEDIA)</v>
      </c>
      <c r="C607" s="7">
        <f>IFERROR(__xludf.DUMMYFUNCTION("""COMPUTED_VALUE"""),2023.0)</f>
        <v>2023</v>
      </c>
      <c r="D607" s="8" t="str">
        <f>IFERROR(__xludf.DUMMYFUNCTION("""COMPUTED_VALUE"""),"2022/2023")</f>
        <v>2022/2023</v>
      </c>
      <c r="E607" s="9">
        <f>IFERROR(__xludf.DUMMYFUNCTION("""COMPUTED_VALUE"""),45120.0)</f>
        <v>45120</v>
      </c>
      <c r="F607" s="5" t="str">
        <f>IFERROR(__xludf.DUMMYFUNCTION("""COMPUTED_VALUE"""),"Genap")</f>
        <v>Genap</v>
      </c>
      <c r="G607" s="5" t="str">
        <f>IFERROR(__xludf.DUMMYFUNCTION("""COMPUTED_VALUE"""),"Manajemen")</f>
        <v>Manajemen</v>
      </c>
      <c r="H607" s="10" t="str">
        <f>IFERROR(__xludf.DUMMYFUNCTION("""COMPUTED_VALUE"""),"Mahasiswa")</f>
        <v>Mahasiswa</v>
      </c>
      <c r="I607" s="6" t="str">
        <f>IFERROR(__xludf.DUMMYFUNCTION("""COMPUTED_VALUE"""),"Helmy Alviano Rafsanjani")</f>
        <v>Helmy Alviano Rafsanjani</v>
      </c>
      <c r="J607" s="6" t="str">
        <f>IFERROR(__xludf.DUMMYFUNCTION("""COMPUTED_VALUE"""),"Andri Nurtantiono")</f>
        <v>Andri Nurtantiono</v>
      </c>
      <c r="K607" s="6"/>
      <c r="L607" s="6"/>
      <c r="M607" s="6"/>
      <c r="N607" s="6"/>
      <c r="O607" s="6"/>
      <c r="P607" s="10" t="str">
        <f>IFERROR(__xludf.DUMMYFUNCTION("""COMPUTED_VALUE"""),"Helmy Alviano Rafsanjani,Andri Nurtantiono,,")</f>
        <v>Helmy Alviano Rafsanjani,Andri Nurtantiono,,</v>
      </c>
      <c r="Q607" s="11" t="str">
        <f>IFERROR(__xludf.DUMMYFUNCTION("""COMPUTED_VALUE"""),"https://jurnalfe.ustjogja.ac.id/index.php/ekobis/article/view/3861")</f>
        <v>https://jurnalfe.ustjogja.ac.id/index.php/ekobis/article/view/3861</v>
      </c>
      <c r="R607" s="6"/>
    </row>
    <row r="608">
      <c r="A608" s="5">
        <f>IFERROR(__xludf.DUMMYFUNCTION("""COMPUTED_VALUE"""),607.0)</f>
        <v>607</v>
      </c>
      <c r="B608" s="6" t="str">
        <f>IFERROR(__xludf.DUMMYFUNCTION("""COMPUTED_VALUE"""),"PENGARUH STRATEGI MARKETING MIX (4P) DALAM UPAYA MENINGKATKAN KINERJA PEMASARAN PADA MASA PANDEMI COVID-19 (Studi Kasus Pada Geffa Production Sukoharjo")</f>
        <v>PENGARUH STRATEGI MARKETING MIX (4P) DALAM UPAYA MENINGKATKAN KINERJA PEMASARAN PADA MASA PANDEMI COVID-19 (Studi Kasus Pada Geffa Production Sukoharjo</v>
      </c>
      <c r="C608" s="7">
        <f>IFERROR(__xludf.DUMMYFUNCTION("""COMPUTED_VALUE"""),2023.0)</f>
        <v>2023</v>
      </c>
      <c r="D608" s="8" t="str">
        <f>IFERROR(__xludf.DUMMYFUNCTION("""COMPUTED_VALUE"""),"2022/2023")</f>
        <v>2022/2023</v>
      </c>
      <c r="E608" s="9">
        <f>IFERROR(__xludf.DUMMYFUNCTION("""COMPUTED_VALUE"""),45122.0)</f>
        <v>45122</v>
      </c>
      <c r="F608" s="5" t="str">
        <f>IFERROR(__xludf.DUMMYFUNCTION("""COMPUTED_VALUE"""),"Genap")</f>
        <v>Genap</v>
      </c>
      <c r="G608" s="5" t="str">
        <f>IFERROR(__xludf.DUMMYFUNCTION("""COMPUTED_VALUE"""),"Manajemen")</f>
        <v>Manajemen</v>
      </c>
      <c r="H608" s="10" t="str">
        <f>IFERROR(__xludf.DUMMYFUNCTION("""COMPUTED_VALUE"""),"Mahasiswa")</f>
        <v>Mahasiswa</v>
      </c>
      <c r="I608" s="6" t="str">
        <f>IFERROR(__xludf.DUMMYFUNCTION("""COMPUTED_VALUE"""),"Alimah Nur Bakhitah")</f>
        <v>Alimah Nur Bakhitah</v>
      </c>
      <c r="J608" s="6" t="str">
        <f>IFERROR(__xludf.DUMMYFUNCTION("""COMPUTED_VALUE"""),"Atik Lusia")</f>
        <v>Atik Lusia</v>
      </c>
      <c r="K608" s="6"/>
      <c r="L608" s="6"/>
      <c r="M608" s="6"/>
      <c r="N608" s="6"/>
      <c r="O608" s="6"/>
      <c r="P608" s="10" t="str">
        <f>IFERROR(__xludf.DUMMYFUNCTION("""COMPUTED_VALUE"""),"Alimah Nur Bakhitah,Atik Lusia,,")</f>
        <v>Alimah Nur Bakhitah,Atik Lusia,,</v>
      </c>
      <c r="Q608" s="11" t="str">
        <f>IFERROR(__xludf.DUMMYFUNCTION("""COMPUTED_VALUE"""),"https://jurnal.unismuhpalu.ac.id/index.php/JSM/article/view/2821")</f>
        <v>https://jurnal.unismuhpalu.ac.id/index.php/JSM/article/view/2821</v>
      </c>
      <c r="R608" s="6"/>
    </row>
    <row r="609">
      <c r="A609" s="5">
        <f>IFERROR(__xludf.DUMMYFUNCTION("""COMPUTED_VALUE"""),608.0)</f>
        <v>608</v>
      </c>
      <c r="B609" s="6" t="str">
        <f>IFERROR(__xludf.DUMMYFUNCTION("""COMPUTED_VALUE"""),"Pengaruh Strategi Marketing Mix (4P) Dalam Upaya Meningkatkan Kinerja Pemasaran Pada Masa Pandemi Covid-19 (Studi Kasus Pada Geffa Production Sukoharjo)")</f>
        <v>Pengaruh Strategi Marketing Mix (4P) Dalam Upaya Meningkatkan Kinerja Pemasaran Pada Masa Pandemi Covid-19 (Studi Kasus Pada Geffa Production Sukoharjo)</v>
      </c>
      <c r="C609" s="7">
        <f>IFERROR(__xludf.DUMMYFUNCTION("""COMPUTED_VALUE"""),2023.0)</f>
        <v>2023</v>
      </c>
      <c r="D609" s="8" t="str">
        <f>IFERROR(__xludf.DUMMYFUNCTION("""COMPUTED_VALUE"""),"2022/2023")</f>
        <v>2022/2023</v>
      </c>
      <c r="E609" s="9">
        <f>IFERROR(__xludf.DUMMYFUNCTION("""COMPUTED_VALUE"""),45122.0)</f>
        <v>45122</v>
      </c>
      <c r="F609" s="5" t="str">
        <f>IFERROR(__xludf.DUMMYFUNCTION("""COMPUTED_VALUE"""),"Genap")</f>
        <v>Genap</v>
      </c>
      <c r="G609" s="5" t="str">
        <f>IFERROR(__xludf.DUMMYFUNCTION("""COMPUTED_VALUE"""),"Manajemen")</f>
        <v>Manajemen</v>
      </c>
      <c r="H609" s="10" t="str">
        <f>IFERROR(__xludf.DUMMYFUNCTION("""COMPUTED_VALUE"""),"Mahasiswa")</f>
        <v>Mahasiswa</v>
      </c>
      <c r="I609" s="6" t="str">
        <f>IFERROR(__xludf.DUMMYFUNCTION("""COMPUTED_VALUE"""),"Alimah Nur")</f>
        <v>Alimah Nur</v>
      </c>
      <c r="J609" s="6" t="str">
        <f>IFERROR(__xludf.DUMMYFUNCTION("""COMPUTED_VALUE"""),"Atik Lusia")</f>
        <v>Atik Lusia</v>
      </c>
      <c r="K609" s="6"/>
      <c r="L609" s="6"/>
      <c r="M609" s="6"/>
      <c r="N609" s="6"/>
      <c r="O609" s="6"/>
      <c r="P609" s="10" t="str">
        <f>IFERROR(__xludf.DUMMYFUNCTION("""COMPUTED_VALUE"""),"Alimah Nur,Atik Lusia,,")</f>
        <v>Alimah Nur,Atik Lusia,,</v>
      </c>
      <c r="Q609" s="11" t="str">
        <f>IFERROR(__xludf.DUMMYFUNCTION("""COMPUTED_VALUE"""),"https://jurnal.unismuhpalu.ac.id/index.php/JSM/article/view/2821")</f>
        <v>https://jurnal.unismuhpalu.ac.id/index.php/JSM/article/view/2821</v>
      </c>
      <c r="R609" s="6"/>
    </row>
    <row r="610">
      <c r="A610" s="5">
        <f>IFERROR(__xludf.DUMMYFUNCTION("""COMPUTED_VALUE"""),609.0)</f>
        <v>609</v>
      </c>
      <c r="B610" s="6" t="str">
        <f>IFERROR(__xludf.DUMMYFUNCTION("""COMPUTED_VALUE"""),"Pengaruh Kesehatan, Kecelakaan Dan Keselamatan Kerja Terhadap Motivasi Kerja Di Pt Alis Jaya Ciptatama Klaten")</f>
        <v>Pengaruh Kesehatan, Kecelakaan Dan Keselamatan Kerja Terhadap Motivasi Kerja Di Pt Alis Jaya Ciptatama Klaten</v>
      </c>
      <c r="C610" s="7">
        <f>IFERROR(__xludf.DUMMYFUNCTION("""COMPUTED_VALUE"""),2023.0)</f>
        <v>2023</v>
      </c>
      <c r="D610" s="8" t="str">
        <f>IFERROR(__xludf.DUMMYFUNCTION("""COMPUTED_VALUE"""),"2022/2023")</f>
        <v>2022/2023</v>
      </c>
      <c r="E610" s="9">
        <f>IFERROR(__xludf.DUMMYFUNCTION("""COMPUTED_VALUE"""),45124.0)</f>
        <v>45124</v>
      </c>
      <c r="F610" s="5" t="str">
        <f>IFERROR(__xludf.DUMMYFUNCTION("""COMPUTED_VALUE"""),"Genap")</f>
        <v>Genap</v>
      </c>
      <c r="G610" s="5" t="str">
        <f>IFERROR(__xludf.DUMMYFUNCTION("""COMPUTED_VALUE"""),"Manajemen")</f>
        <v>Manajemen</v>
      </c>
      <c r="H610" s="10" t="str">
        <f>IFERROR(__xludf.DUMMYFUNCTION("""COMPUTED_VALUE"""),"Mahasiswa")</f>
        <v>Mahasiswa</v>
      </c>
      <c r="I610" s="6" t="str">
        <f>IFERROR(__xludf.DUMMYFUNCTION("""COMPUTED_VALUE"""),"Latifah Nur Azizah")</f>
        <v>Latifah Nur Azizah</v>
      </c>
      <c r="J610" s="6" t="str">
        <f>IFERROR(__xludf.DUMMYFUNCTION("""COMPUTED_VALUE"""),"Ida Ayu Kade")</f>
        <v>Ida Ayu Kade</v>
      </c>
      <c r="K610" s="6"/>
      <c r="L610" s="6"/>
      <c r="M610" s="6"/>
      <c r="N610" s="6"/>
      <c r="O610" s="6"/>
      <c r="P610" s="10" t="str">
        <f>IFERROR(__xludf.DUMMYFUNCTION("""COMPUTED_VALUE"""),"Latifah Nur Azizah,Ida Ayu Kade,,")</f>
        <v>Latifah Nur Azizah,Ida Ayu Kade,,</v>
      </c>
      <c r="Q610" s="11" t="str">
        <f>IFERROR(__xludf.DUMMYFUNCTION("""COMPUTED_VALUE"""),"https://ejurnal.stie-trianandra.ac.id/index.php/jubima/article/view/1828")</f>
        <v>https://ejurnal.stie-trianandra.ac.id/index.php/jubima/article/view/1828</v>
      </c>
      <c r="R610" s="6"/>
    </row>
    <row r="611">
      <c r="A611" s="5">
        <f>IFERROR(__xludf.DUMMYFUNCTION("""COMPUTED_VALUE"""),610.0)</f>
        <v>610</v>
      </c>
      <c r="B611" s="6" t="str">
        <f>IFERROR(__xludf.DUMMYFUNCTION("""COMPUTED_VALUE"""),"Pengaruh Copywriting Promotion, Online Customer Review, dan Gaya Hidup Terhadap Keputusan Pembelian Melalui Keranjang Kuning Pada Aplikasi Tiktok")</f>
        <v>Pengaruh Copywriting Promotion, Online Customer Review, dan Gaya Hidup Terhadap Keputusan Pembelian Melalui Keranjang Kuning Pada Aplikasi Tiktok</v>
      </c>
      <c r="C611" s="7">
        <f>IFERROR(__xludf.DUMMYFUNCTION("""COMPUTED_VALUE"""),2023.0)</f>
        <v>2023</v>
      </c>
      <c r="D611" s="8" t="str">
        <f>IFERROR(__xludf.DUMMYFUNCTION("""COMPUTED_VALUE"""),"2022/2023")</f>
        <v>2022/2023</v>
      </c>
      <c r="E611" s="9">
        <f>IFERROR(__xludf.DUMMYFUNCTION("""COMPUTED_VALUE"""),45125.0)</f>
        <v>45125</v>
      </c>
      <c r="F611" s="5" t="str">
        <f>IFERROR(__xludf.DUMMYFUNCTION("""COMPUTED_VALUE"""),"Genap")</f>
        <v>Genap</v>
      </c>
      <c r="G611" s="5" t="str">
        <f>IFERROR(__xludf.DUMMYFUNCTION("""COMPUTED_VALUE"""),"Manajemen")</f>
        <v>Manajemen</v>
      </c>
      <c r="H611" s="10" t="str">
        <f>IFERROR(__xludf.DUMMYFUNCTION("""COMPUTED_VALUE"""),"Mahasiswa")</f>
        <v>Mahasiswa</v>
      </c>
      <c r="I611" s="6" t="str">
        <f>IFERROR(__xludf.DUMMYFUNCTION("""COMPUTED_VALUE"""),"Umi Ruqoyyah")</f>
        <v>Umi Ruqoyyah</v>
      </c>
      <c r="J611" s="6" t="str">
        <f>IFERROR(__xludf.DUMMYFUNCTION("""COMPUTED_VALUE"""),"Ginanjar Rahmawan")</f>
        <v>Ginanjar Rahmawan</v>
      </c>
      <c r="K611" s="6"/>
      <c r="L611" s="6"/>
      <c r="M611" s="6"/>
      <c r="N611" s="6"/>
      <c r="O611" s="6"/>
      <c r="P611" s="10" t="str">
        <f>IFERROR(__xludf.DUMMYFUNCTION("""COMPUTED_VALUE"""),"Umi Ruqoyyah,Ginanjar Rahmawan,,")</f>
        <v>Umi Ruqoyyah,Ginanjar Rahmawan,,</v>
      </c>
      <c r="Q611" s="11" t="str">
        <f>IFERROR(__xludf.DUMMYFUNCTION("""COMPUTED_VALUE"""),"https://jurnal.peko.uniba-bpn.ac.id/index.php/Edueco/article/view/152")</f>
        <v>https://jurnal.peko.uniba-bpn.ac.id/index.php/Edueco/article/view/152</v>
      </c>
      <c r="R611" s="6"/>
    </row>
    <row r="612">
      <c r="A612" s="5">
        <f>IFERROR(__xludf.DUMMYFUNCTION("""COMPUTED_VALUE"""),611.0)</f>
        <v>611</v>
      </c>
      <c r="B612" s="6" t="str">
        <f>IFERROR(__xludf.DUMMYFUNCTION("""COMPUTED_VALUE"""),"Pengaruh Kualitas Produk, Kualitas Pelayanan, Dan Harga Terhadap Kepuasan Pelanggan Roti Bakar")</f>
        <v>Pengaruh Kualitas Produk, Kualitas Pelayanan, Dan Harga Terhadap Kepuasan Pelanggan Roti Bakar</v>
      </c>
      <c r="C612" s="7">
        <f>IFERROR(__xludf.DUMMYFUNCTION("""COMPUTED_VALUE"""),2023.0)</f>
        <v>2023</v>
      </c>
      <c r="D612" s="8" t="str">
        <f>IFERROR(__xludf.DUMMYFUNCTION("""COMPUTED_VALUE"""),"2022/2023")</f>
        <v>2022/2023</v>
      </c>
      <c r="E612" s="9">
        <f>IFERROR(__xludf.DUMMYFUNCTION("""COMPUTED_VALUE"""),45127.0)</f>
        <v>45127</v>
      </c>
      <c r="F612" s="5" t="str">
        <f>IFERROR(__xludf.DUMMYFUNCTION("""COMPUTED_VALUE"""),"Genap")</f>
        <v>Genap</v>
      </c>
      <c r="G612" s="5" t="str">
        <f>IFERROR(__xludf.DUMMYFUNCTION("""COMPUTED_VALUE"""),"Manajemen")</f>
        <v>Manajemen</v>
      </c>
      <c r="H612" s="10" t="str">
        <f>IFERROR(__xludf.DUMMYFUNCTION("""COMPUTED_VALUE"""),"Mahasiswa")</f>
        <v>Mahasiswa</v>
      </c>
      <c r="I612" s="6" t="str">
        <f>IFERROR(__xludf.DUMMYFUNCTION("""COMPUTED_VALUE"""),"Fajar Saputro")</f>
        <v>Fajar Saputro</v>
      </c>
      <c r="J612" s="6" t="str">
        <f>IFERROR(__xludf.DUMMYFUNCTION("""COMPUTED_VALUE"""),"Muhammad Jalari")</f>
        <v>Muhammad Jalari</v>
      </c>
      <c r="K612" s="6"/>
      <c r="L612" s="6"/>
      <c r="M612" s="6"/>
      <c r="N612" s="6"/>
      <c r="O612" s="6"/>
      <c r="P612" s="10" t="str">
        <f>IFERROR(__xludf.DUMMYFUNCTION("""COMPUTED_VALUE"""),"Fajar Saputro,Muhammad Jalari,,")</f>
        <v>Fajar Saputro,Muhammad Jalari,,</v>
      </c>
      <c r="Q612" s="11" t="str">
        <f>IFERROR(__xludf.DUMMYFUNCTION("""COMPUTED_VALUE"""),"https://jurnal.itbsemarang.ac.id/index.php/jurma/article/view/639")</f>
        <v>https://jurnal.itbsemarang.ac.id/index.php/jurma/article/view/639</v>
      </c>
      <c r="R612" s="6"/>
    </row>
    <row r="613">
      <c r="A613" s="5">
        <f>IFERROR(__xludf.DUMMYFUNCTION("""COMPUTED_VALUE"""),612.0)</f>
        <v>612</v>
      </c>
      <c r="B613" s="6" t="str">
        <f>IFERROR(__xludf.DUMMYFUNCTION("""COMPUTED_VALUE"""),"Pengaruh Kompetensi, Kompensasi, Konflik Kerja, Serta Stress Kerja Terhadap Kepuasan Kerja Pada Karyawan Wanita Di Surakarta")</f>
        <v>Pengaruh Kompetensi, Kompensasi, Konflik Kerja, Serta Stress Kerja Terhadap Kepuasan Kerja Pada Karyawan Wanita Di Surakarta</v>
      </c>
      <c r="C613" s="7">
        <f>IFERROR(__xludf.DUMMYFUNCTION("""COMPUTED_VALUE"""),2023.0)</f>
        <v>2023</v>
      </c>
      <c r="D613" s="8" t="str">
        <f>IFERROR(__xludf.DUMMYFUNCTION("""COMPUTED_VALUE"""),"2022/2023")</f>
        <v>2022/2023</v>
      </c>
      <c r="E613" s="9">
        <f>IFERROR(__xludf.DUMMYFUNCTION("""COMPUTED_VALUE"""),45127.0)</f>
        <v>45127</v>
      </c>
      <c r="F613" s="5" t="str">
        <f>IFERROR(__xludf.DUMMYFUNCTION("""COMPUTED_VALUE"""),"Genap")</f>
        <v>Genap</v>
      </c>
      <c r="G613" s="5" t="str">
        <f>IFERROR(__xludf.DUMMYFUNCTION("""COMPUTED_VALUE"""),"Manajemen")</f>
        <v>Manajemen</v>
      </c>
      <c r="H613" s="10" t="str">
        <f>IFERROR(__xludf.DUMMYFUNCTION("""COMPUTED_VALUE"""),"Mahasiswa")</f>
        <v>Mahasiswa</v>
      </c>
      <c r="I613" s="6" t="str">
        <f>IFERROR(__xludf.DUMMYFUNCTION("""COMPUTED_VALUE"""),"Latifah Nur Azizah")</f>
        <v>Latifah Nur Azizah</v>
      </c>
      <c r="J613" s="6" t="str">
        <f>IFERROR(__xludf.DUMMYFUNCTION("""COMPUTED_VALUE"""),"Ida Ayu Kade")</f>
        <v>Ida Ayu Kade</v>
      </c>
      <c r="K613" s="6"/>
      <c r="L613" s="6"/>
      <c r="M613" s="6"/>
      <c r="N613" s="6"/>
      <c r="O613" s="6"/>
      <c r="P613" s="10" t="str">
        <f>IFERROR(__xludf.DUMMYFUNCTION("""COMPUTED_VALUE"""),"Latifah Nur Azizah,Ida Ayu Kade,,")</f>
        <v>Latifah Nur Azizah,Ida Ayu Kade,,</v>
      </c>
      <c r="Q613" s="11" t="str">
        <f>IFERROR(__xludf.DUMMYFUNCTION("""COMPUTED_VALUE"""),"https://journal.staiypiqbaubau.ac.id/index.php/Maslahah/article/view/270")</f>
        <v>https://journal.staiypiqbaubau.ac.id/index.php/Maslahah/article/view/270</v>
      </c>
      <c r="R613" s="6"/>
    </row>
    <row r="614">
      <c r="A614" s="5">
        <f>IFERROR(__xludf.DUMMYFUNCTION("""COMPUTED_VALUE"""),613.0)</f>
        <v>613</v>
      </c>
      <c r="B614" s="6" t="str">
        <f>IFERROR(__xludf.DUMMYFUNCTION("""COMPUTED_VALUE"""),"Pengaruh Kemudahan, Keamanan, Resiko Dan Promosi, terhadap Keputusan Penggunaan Shopee Paylater Di Solo Raya")</f>
        <v>Pengaruh Kemudahan, Keamanan, Resiko Dan Promosi, terhadap Keputusan Penggunaan Shopee Paylater Di Solo Raya</v>
      </c>
      <c r="C614" s="7">
        <f>IFERROR(__xludf.DUMMYFUNCTION("""COMPUTED_VALUE"""),2023.0)</f>
        <v>2023</v>
      </c>
      <c r="D614" s="8" t="str">
        <f>IFERROR(__xludf.DUMMYFUNCTION("""COMPUTED_VALUE"""),"2022/2023")</f>
        <v>2022/2023</v>
      </c>
      <c r="E614" s="9">
        <f>IFERROR(__xludf.DUMMYFUNCTION("""COMPUTED_VALUE"""),45128.0)</f>
        <v>45128</v>
      </c>
      <c r="F614" s="5" t="str">
        <f>IFERROR(__xludf.DUMMYFUNCTION("""COMPUTED_VALUE"""),"Genap")</f>
        <v>Genap</v>
      </c>
      <c r="G614" s="5" t="str">
        <f>IFERROR(__xludf.DUMMYFUNCTION("""COMPUTED_VALUE"""),"")</f>
        <v/>
      </c>
      <c r="H614" s="10" t="str">
        <f>IFERROR(__xludf.DUMMYFUNCTION("""COMPUTED_VALUE"""),"Mahasiswa")</f>
        <v>Mahasiswa</v>
      </c>
      <c r="I614" s="6" t="str">
        <f>IFERROR(__xludf.DUMMYFUNCTION("""COMPUTED_VALUE"""),"Rizqi Akbar")</f>
        <v>Rizqi Akbar</v>
      </c>
      <c r="J614" s="6"/>
      <c r="K614" s="6"/>
      <c r="L614" s="6"/>
      <c r="M614" s="6"/>
      <c r="N614" s="6"/>
      <c r="O614" s="6"/>
      <c r="P614" s="10" t="str">
        <f>IFERROR(__xludf.DUMMYFUNCTION("""COMPUTED_VALUE"""),"Rizqi Akbar,,,")</f>
        <v>Rizqi Akbar,,,</v>
      </c>
      <c r="Q614" s="11" t="str">
        <f>IFERROR(__xludf.DUMMYFUNCTION("""COMPUTED_VALUE"""),"https://jurnal.itbsemarang.ac.id/index.php/JREA/article/view/645")</f>
        <v>https://jurnal.itbsemarang.ac.id/index.php/JREA/article/view/645</v>
      </c>
      <c r="R614" s="6"/>
    </row>
    <row r="615">
      <c r="A615" s="5">
        <f>IFERROR(__xludf.DUMMYFUNCTION("""COMPUTED_VALUE"""),614.0)</f>
        <v>614</v>
      </c>
      <c r="B615" s="6" t="str">
        <f>IFERROR(__xludf.DUMMYFUNCTION("""COMPUTED_VALUE"""),"Pengembangan Sumber Daya Manusia")</f>
        <v>Pengembangan Sumber Daya Manusia</v>
      </c>
      <c r="C615" s="7">
        <f>IFERROR(__xludf.DUMMYFUNCTION("""COMPUTED_VALUE"""),2023.0)</f>
        <v>2023</v>
      </c>
      <c r="D615" s="8" t="str">
        <f>IFERROR(__xludf.DUMMYFUNCTION("""COMPUTED_VALUE"""),"2022/2023")</f>
        <v>2022/2023</v>
      </c>
      <c r="E615" s="9">
        <f>IFERROR(__xludf.DUMMYFUNCTION("""COMPUTED_VALUE"""),45129.0)</f>
        <v>45129</v>
      </c>
      <c r="F615" s="5" t="str">
        <f>IFERROR(__xludf.DUMMYFUNCTION("""COMPUTED_VALUE"""),"Genap")</f>
        <v>Genap</v>
      </c>
      <c r="G615" s="5" t="str">
        <f>IFERROR(__xludf.DUMMYFUNCTION("""COMPUTED_VALUE"""),"Manajemen")</f>
        <v>Manajemen</v>
      </c>
      <c r="H615" s="10" t="str">
        <f>IFERROR(__xludf.DUMMYFUNCTION("""COMPUTED_VALUE"""),"Dosen")</f>
        <v>Dosen</v>
      </c>
      <c r="I615" s="6" t="str">
        <f>IFERROR(__xludf.DUMMYFUNCTION("""COMPUTED_VALUE"""),"Muhammad Luqman Hakim")</f>
        <v>Muhammad Luqman Hakim</v>
      </c>
      <c r="J615" s="6"/>
      <c r="K615" s="6"/>
      <c r="L615" s="6"/>
      <c r="M615" s="6"/>
      <c r="N615" s="6"/>
      <c r="O615" s="6"/>
      <c r="P615" s="10" t="str">
        <f>IFERROR(__xludf.DUMMYFUNCTION("""COMPUTED_VALUE"""),"Muhammad Luqman Hakim,,,")</f>
        <v>Muhammad Luqman Hakim,,,</v>
      </c>
      <c r="Q615" s="11" t="str">
        <f>IFERROR(__xludf.DUMMYFUNCTION("""COMPUTED_VALUE"""),"https://drive.google.com/file/d/1LpA3GnjIY9C_nrVRT1UEmK8pk7aBqXvL/view?usp=drive_link")</f>
        <v>https://drive.google.com/file/d/1LpA3GnjIY9C_nrVRT1UEmK8pk7aBqXvL/view?usp=drive_link</v>
      </c>
      <c r="R615" s="6"/>
    </row>
    <row r="616">
      <c r="A616" s="5">
        <f>IFERROR(__xludf.DUMMYFUNCTION("""COMPUTED_VALUE"""),615.0)</f>
        <v>615</v>
      </c>
      <c r="B616" s="6" t="str">
        <f>IFERROR(__xludf.DUMMYFUNCTION("""COMPUTED_VALUE"""),"Peran Metode Six Sigma dan Penerapan pada Industri Pertambangan: Literature Review")</f>
        <v>Peran Metode Six Sigma dan Penerapan pada Industri Pertambangan: Literature Review</v>
      </c>
      <c r="C616" s="7">
        <f>IFERROR(__xludf.DUMMYFUNCTION("""COMPUTED_VALUE"""),2023.0)</f>
        <v>2023</v>
      </c>
      <c r="D616" s="8" t="str">
        <f>IFERROR(__xludf.DUMMYFUNCTION("""COMPUTED_VALUE"""),"2022/2023")</f>
        <v>2022/2023</v>
      </c>
      <c r="E616" s="9">
        <f>IFERROR(__xludf.DUMMYFUNCTION("""COMPUTED_VALUE"""),45129.0)</f>
        <v>45129</v>
      </c>
      <c r="F616" s="5" t="str">
        <f>IFERROR(__xludf.DUMMYFUNCTION("""COMPUTED_VALUE"""),"Genap")</f>
        <v>Genap</v>
      </c>
      <c r="G616" s="5" t="str">
        <f>IFERROR(__xludf.DUMMYFUNCTION("""COMPUTED_VALUE"""),"Manajemen")</f>
        <v>Manajemen</v>
      </c>
      <c r="H616" s="10" t="str">
        <f>IFERROR(__xludf.DUMMYFUNCTION("""COMPUTED_VALUE"""),"Mahasiswa")</f>
        <v>Mahasiswa</v>
      </c>
      <c r="I616" s="6" t="str">
        <f>IFERROR(__xludf.DUMMYFUNCTION("""COMPUTED_VALUE"""),"Elisa Febrianti Rohman")</f>
        <v>Elisa Febrianti Rohman</v>
      </c>
      <c r="J616" s="6" t="str">
        <f>IFERROR(__xludf.DUMMYFUNCTION("""COMPUTED_VALUE"""),"Heny Kurnianingsih")</f>
        <v>Heny Kurnianingsih</v>
      </c>
      <c r="K616" s="6"/>
      <c r="L616" s="6"/>
      <c r="M616" s="6"/>
      <c r="N616" s="6"/>
      <c r="O616" s="6"/>
      <c r="P616" s="10" t="str">
        <f>IFERROR(__xludf.DUMMYFUNCTION("""COMPUTED_VALUE"""),"Elisa Febrianti Rohman,Heny Kurnianingsih,,")</f>
        <v>Elisa Febrianti Rohman,Heny Kurnianingsih,,</v>
      </c>
      <c r="Q616" s="11" t="str">
        <f>IFERROR(__xludf.DUMMYFUNCTION("""COMPUTED_VALUE"""),"https://repository.stiesurakarta.ac.id/submission/51e89978-3d1f-4efd-b013-58d3b7ff32f4")</f>
        <v>https://repository.stiesurakarta.ac.id/submission/51e89978-3d1f-4efd-b013-58d3b7ff32f4</v>
      </c>
      <c r="R616" s="6"/>
    </row>
    <row r="617">
      <c r="A617" s="5">
        <f>IFERROR(__xludf.DUMMYFUNCTION("""COMPUTED_VALUE"""),616.0)</f>
        <v>616</v>
      </c>
      <c r="B617" s="6" t="str">
        <f>IFERROR(__xludf.DUMMYFUNCTION("""COMPUTED_VALUE"""),"Analisis Peranan Sistem Brinets terhadap Laporan Keuangan BRI Kantor Cabang Solo Kartasura")</f>
        <v>Analisis Peranan Sistem Brinets terhadap Laporan Keuangan BRI Kantor Cabang Solo Kartasura</v>
      </c>
      <c r="C617" s="7">
        <f>IFERROR(__xludf.DUMMYFUNCTION("""COMPUTED_VALUE"""),2023.0)</f>
        <v>2023</v>
      </c>
      <c r="D617" s="8" t="str">
        <f>IFERROR(__xludf.DUMMYFUNCTION("""COMPUTED_VALUE"""),"2022/2023")</f>
        <v>2022/2023</v>
      </c>
      <c r="E617" s="9">
        <f>IFERROR(__xludf.DUMMYFUNCTION("""COMPUTED_VALUE"""),45129.0)</f>
        <v>45129</v>
      </c>
      <c r="F617" s="5" t="str">
        <f>IFERROR(__xludf.DUMMYFUNCTION("""COMPUTED_VALUE"""),"Genap")</f>
        <v>Genap</v>
      </c>
      <c r="G617" s="5" t="str">
        <f>IFERROR(__xludf.DUMMYFUNCTION("""COMPUTED_VALUE"""),"Akuntansi")</f>
        <v>Akuntansi</v>
      </c>
      <c r="H617" s="10" t="str">
        <f>IFERROR(__xludf.DUMMYFUNCTION("""COMPUTED_VALUE"""),"Mahasiswa")</f>
        <v>Mahasiswa</v>
      </c>
      <c r="I617" s="6" t="str">
        <f>IFERROR(__xludf.DUMMYFUNCTION("""COMPUTED_VALUE"""),"Fina Mellinda Sari")</f>
        <v>Fina Mellinda Sari</v>
      </c>
      <c r="J617" s="6" t="str">
        <f>IFERROR(__xludf.DUMMYFUNCTION("""COMPUTED_VALUE"""),"Ismunawan")</f>
        <v>Ismunawan</v>
      </c>
      <c r="K617" s="6"/>
      <c r="L617" s="6"/>
      <c r="M617" s="6"/>
      <c r="N617" s="6"/>
      <c r="O617" s="6"/>
      <c r="P617" s="10" t="str">
        <f>IFERROR(__xludf.DUMMYFUNCTION("""COMPUTED_VALUE"""),"Fina Mellinda Sari,Ismunawan,,")</f>
        <v>Fina Mellinda Sari,Ismunawan,,</v>
      </c>
      <c r="Q617" s="11" t="str">
        <f>IFERROR(__xludf.DUMMYFUNCTION("""COMPUTED_VALUE"""),"https://repository.stiesurakarta.ac.id/submission/83454f91-39a9-4741-bad6-c1fa27c50a3a")</f>
        <v>https://repository.stiesurakarta.ac.id/submission/83454f91-39a9-4741-bad6-c1fa27c50a3a</v>
      </c>
      <c r="R617" s="6"/>
    </row>
    <row r="618">
      <c r="A618" s="5">
        <f>IFERROR(__xludf.DUMMYFUNCTION("""COMPUTED_VALUE"""),617.0)</f>
        <v>617</v>
      </c>
      <c r="B618" s="6" t="str">
        <f>IFERROR(__xludf.DUMMYFUNCTION("""COMPUTED_VALUE"""),"Determinan Pendapatan Pedagang Pasar Daleman Kabupaten Sukoharjo")</f>
        <v>Determinan Pendapatan Pedagang Pasar Daleman Kabupaten Sukoharjo</v>
      </c>
      <c r="C618" s="7">
        <f>IFERROR(__xludf.DUMMYFUNCTION("""COMPUTED_VALUE"""),2023.0)</f>
        <v>2023</v>
      </c>
      <c r="D618" s="8" t="str">
        <f>IFERROR(__xludf.DUMMYFUNCTION("""COMPUTED_VALUE"""),"2022/2023")</f>
        <v>2022/2023</v>
      </c>
      <c r="E618" s="9">
        <f>IFERROR(__xludf.DUMMYFUNCTION("""COMPUTED_VALUE"""),45129.0)</f>
        <v>45129</v>
      </c>
      <c r="F618" s="5" t="str">
        <f>IFERROR(__xludf.DUMMYFUNCTION("""COMPUTED_VALUE"""),"Genap")</f>
        <v>Genap</v>
      </c>
      <c r="G618" s="5" t="str">
        <f>IFERROR(__xludf.DUMMYFUNCTION("""COMPUTED_VALUE"""),"Akuntansi")</f>
        <v>Akuntansi</v>
      </c>
      <c r="H618" s="10" t="str">
        <f>IFERROR(__xludf.DUMMYFUNCTION("""COMPUTED_VALUE"""),"Mahasiswa")</f>
        <v>Mahasiswa</v>
      </c>
      <c r="I618" s="6" t="str">
        <f>IFERROR(__xludf.DUMMYFUNCTION("""COMPUTED_VALUE"""),"Ilyas Sananta Pandhu Samudra")</f>
        <v>Ilyas Sananta Pandhu Samudra</v>
      </c>
      <c r="J618" s="6" t="str">
        <f>IFERROR(__xludf.DUMMYFUNCTION("""COMPUTED_VALUE"""),"Arif Nugroho Rachman")</f>
        <v>Arif Nugroho Rachman</v>
      </c>
      <c r="K618" s="6"/>
      <c r="L618" s="6"/>
      <c r="M618" s="6"/>
      <c r="N618" s="6"/>
      <c r="O618" s="6"/>
      <c r="P618" s="10" t="str">
        <f>IFERROR(__xludf.DUMMYFUNCTION("""COMPUTED_VALUE"""),"Ilyas Sananta Pandhu Samudra,Arif Nugroho Rachman,,")</f>
        <v>Ilyas Sananta Pandhu Samudra,Arif Nugroho Rachman,,</v>
      </c>
      <c r="Q618" s="11" t="str">
        <f>IFERROR(__xludf.DUMMYFUNCTION("""COMPUTED_VALUE"""),"https://repository.stiesurakarta.ac.id/submission/b39cb1fc-27cb-4816-92c7-bfd902194fc9")</f>
        <v>https://repository.stiesurakarta.ac.id/submission/b39cb1fc-27cb-4816-92c7-bfd902194fc9</v>
      </c>
      <c r="R618" s="6"/>
    </row>
    <row r="619">
      <c r="A619" s="5">
        <f>IFERROR(__xludf.DUMMYFUNCTION("""COMPUTED_VALUE"""),618.0)</f>
        <v>618</v>
      </c>
      <c r="B619" s="6" t="str">
        <f>IFERROR(__xludf.DUMMYFUNCTION("""COMPUTED_VALUE"""),"PENGARUH DANA ALOKASI UMUM, DANA ALOKASI KHUSUS DAN DANA BAGI HASIL TERHADAP BELANJA MODAL DI KABUPATEN/KOTA PROVINSI JAWA TENGAH”")</f>
        <v>PENGARUH DANA ALOKASI UMUM, DANA ALOKASI KHUSUS DAN DANA BAGI HASIL TERHADAP BELANJA MODAL DI KABUPATEN/KOTA PROVINSI JAWA TENGAH”</v>
      </c>
      <c r="C619" s="7">
        <f>IFERROR(__xludf.DUMMYFUNCTION("""COMPUTED_VALUE"""),2023.0)</f>
        <v>2023</v>
      </c>
      <c r="D619" s="8" t="str">
        <f>IFERROR(__xludf.DUMMYFUNCTION("""COMPUTED_VALUE"""),"2022/2023")</f>
        <v>2022/2023</v>
      </c>
      <c r="E619" s="9">
        <f>IFERROR(__xludf.DUMMYFUNCTION("""COMPUTED_VALUE"""),45130.0)</f>
        <v>45130</v>
      </c>
      <c r="F619" s="5" t="str">
        <f>IFERROR(__xludf.DUMMYFUNCTION("""COMPUTED_VALUE"""),"Genap")</f>
        <v>Genap</v>
      </c>
      <c r="G619" s="5" t="str">
        <f>IFERROR(__xludf.DUMMYFUNCTION("""COMPUTED_VALUE"""),"Akuntansi")</f>
        <v>Akuntansi</v>
      </c>
      <c r="H619" s="10" t="str">
        <f>IFERROR(__xludf.DUMMYFUNCTION("""COMPUTED_VALUE"""),"Mahasiswa")</f>
        <v>Mahasiswa</v>
      </c>
      <c r="I619" s="6" t="str">
        <f>IFERROR(__xludf.DUMMYFUNCTION("""COMPUTED_VALUE"""),"Rustiana Marheni")</f>
        <v>Rustiana Marheni</v>
      </c>
      <c r="J619" s="6" t="str">
        <f>IFERROR(__xludf.DUMMYFUNCTION("""COMPUTED_VALUE"""),"Eko Triyanto")</f>
        <v>Eko Triyanto</v>
      </c>
      <c r="K619" s="6"/>
      <c r="L619" s="6"/>
      <c r="M619" s="6"/>
      <c r="N619" s="6"/>
      <c r="O619" s="6"/>
      <c r="P619" s="10" t="str">
        <f>IFERROR(__xludf.DUMMYFUNCTION("""COMPUTED_VALUE"""),"Rustiana Marheni,Eko Triyanto,,")</f>
        <v>Rustiana Marheni,Eko Triyanto,,</v>
      </c>
      <c r="Q619" s="11" t="str">
        <f>IFERROR(__xludf.DUMMYFUNCTION("""COMPUTED_VALUE"""),"https://bajangjournal.com/index.php/JCI/article/view/6130")</f>
        <v>https://bajangjournal.com/index.php/JCI/article/view/6130</v>
      </c>
      <c r="R619" s="6"/>
    </row>
    <row r="620">
      <c r="A620" s="5">
        <f>IFERROR(__xludf.DUMMYFUNCTION("""COMPUTED_VALUE"""),619.0)</f>
        <v>619</v>
      </c>
      <c r="B620" s="6" t="str">
        <f>IFERROR(__xludf.DUMMYFUNCTION("""COMPUTED_VALUE"""),"Studi Determinasi Terhadap Kinerja Karyawan di CV Super Grosir")</f>
        <v>Studi Determinasi Terhadap Kinerja Karyawan di CV Super Grosir</v>
      </c>
      <c r="C620" s="7">
        <f>IFERROR(__xludf.DUMMYFUNCTION("""COMPUTED_VALUE"""),2023.0)</f>
        <v>2023</v>
      </c>
      <c r="D620" s="8" t="str">
        <f>IFERROR(__xludf.DUMMYFUNCTION("""COMPUTED_VALUE"""),"2022/2023")</f>
        <v>2022/2023</v>
      </c>
      <c r="E620" s="9">
        <f>IFERROR(__xludf.DUMMYFUNCTION("""COMPUTED_VALUE"""),45130.0)</f>
        <v>45130</v>
      </c>
      <c r="F620" s="5" t="str">
        <f>IFERROR(__xludf.DUMMYFUNCTION("""COMPUTED_VALUE"""),"Genap")</f>
        <v>Genap</v>
      </c>
      <c r="G620" s="5" t="str">
        <f>IFERROR(__xludf.DUMMYFUNCTION("""COMPUTED_VALUE"""),"Akuntansi")</f>
        <v>Akuntansi</v>
      </c>
      <c r="H620" s="10" t="str">
        <f>IFERROR(__xludf.DUMMYFUNCTION("""COMPUTED_VALUE"""),"Mahasiswa")</f>
        <v>Mahasiswa</v>
      </c>
      <c r="I620" s="6" t="str">
        <f>IFERROR(__xludf.DUMMYFUNCTION("""COMPUTED_VALUE"""),"Faradila Gita Intan Pratiwi")</f>
        <v>Faradila Gita Intan Pratiwi</v>
      </c>
      <c r="J620" s="6" t="str">
        <f>IFERROR(__xludf.DUMMYFUNCTION("""COMPUTED_VALUE"""),"Arif Nugroho Rachman")</f>
        <v>Arif Nugroho Rachman</v>
      </c>
      <c r="K620" s="6"/>
      <c r="L620" s="6"/>
      <c r="M620" s="6"/>
      <c r="N620" s="6"/>
      <c r="O620" s="6"/>
      <c r="P620" s="10" t="str">
        <f>IFERROR(__xludf.DUMMYFUNCTION("""COMPUTED_VALUE"""),"Faradila Gita Intan Pratiwi,Arif Nugroho Rachman,,")</f>
        <v>Faradila Gita Intan Pratiwi,Arif Nugroho Rachman,,</v>
      </c>
      <c r="Q620" s="11" t="str">
        <f>IFERROR(__xludf.DUMMYFUNCTION("""COMPUTED_VALUE"""),"https://repository.stiesurakarta.ac.id/submission/384763c5-be64-4dfc-8b4f-678f5222427f")</f>
        <v>https://repository.stiesurakarta.ac.id/submission/384763c5-be64-4dfc-8b4f-678f5222427f</v>
      </c>
      <c r="R620" s="6"/>
    </row>
    <row r="621">
      <c r="A621" s="5">
        <f>IFERROR(__xludf.DUMMYFUNCTION("""COMPUTED_VALUE"""),620.0)</f>
        <v>620</v>
      </c>
      <c r="B621" s="6" t="str">
        <f>IFERROR(__xludf.DUMMYFUNCTION("""COMPUTED_VALUE"""),"Pengaruh Dana Alokasi Umum, Dana Alokasi Khusus dan Dana Bagi Hasil terhadap Belanja Modal di Kabupaten/Kota Provinsi Jawa Tengah")</f>
        <v>Pengaruh Dana Alokasi Umum, Dana Alokasi Khusus dan Dana Bagi Hasil terhadap Belanja Modal di Kabupaten/Kota Provinsi Jawa Tengah</v>
      </c>
      <c r="C621" s="7">
        <f>IFERROR(__xludf.DUMMYFUNCTION("""COMPUTED_VALUE"""),2023.0)</f>
        <v>2023</v>
      </c>
      <c r="D621" s="8" t="str">
        <f>IFERROR(__xludf.DUMMYFUNCTION("""COMPUTED_VALUE"""),"2022/2023")</f>
        <v>2022/2023</v>
      </c>
      <c r="E621" s="9">
        <f>IFERROR(__xludf.DUMMYFUNCTION("""COMPUTED_VALUE"""),45130.0)</f>
        <v>45130</v>
      </c>
      <c r="F621" s="5" t="str">
        <f>IFERROR(__xludf.DUMMYFUNCTION("""COMPUTED_VALUE"""),"Genap")</f>
        <v>Genap</v>
      </c>
      <c r="G621" s="5" t="str">
        <f>IFERROR(__xludf.DUMMYFUNCTION("""COMPUTED_VALUE"""),"Akuntansi")</f>
        <v>Akuntansi</v>
      </c>
      <c r="H621" s="10" t="str">
        <f>IFERROR(__xludf.DUMMYFUNCTION("""COMPUTED_VALUE"""),"Mahasiswa")</f>
        <v>Mahasiswa</v>
      </c>
      <c r="I621" s="6" t="str">
        <f>IFERROR(__xludf.DUMMYFUNCTION("""COMPUTED_VALUE"""),"Rustiana Marheni")</f>
        <v>Rustiana Marheni</v>
      </c>
      <c r="J621" s="6" t="str">
        <f>IFERROR(__xludf.DUMMYFUNCTION("""COMPUTED_VALUE"""),"Eko Triyanto")</f>
        <v>Eko Triyanto</v>
      </c>
      <c r="K621" s="6"/>
      <c r="L621" s="6"/>
      <c r="M621" s="6"/>
      <c r="N621" s="6"/>
      <c r="O621" s="6"/>
      <c r="P621" s="10" t="str">
        <f>IFERROR(__xludf.DUMMYFUNCTION("""COMPUTED_VALUE"""),"Rustiana Marheni,Eko Triyanto,,")</f>
        <v>Rustiana Marheni,Eko Triyanto,,</v>
      </c>
      <c r="Q621" s="11" t="str">
        <f>IFERROR(__xludf.DUMMYFUNCTION("""COMPUTED_VALUE"""),"https://bajangjournal.com/index.php/JCI/article/view/6130/4624")</f>
        <v>https://bajangjournal.com/index.php/JCI/article/view/6130/4624</v>
      </c>
      <c r="R621" s="6"/>
    </row>
    <row r="622">
      <c r="A622" s="5">
        <f>IFERROR(__xludf.DUMMYFUNCTION("""COMPUTED_VALUE"""),621.0)</f>
        <v>621</v>
      </c>
      <c r="B622" s="6" t="str">
        <f>IFERROR(__xludf.DUMMYFUNCTION("""COMPUTED_VALUE"""),"Pengaruh Penggunaan Informasi Akuntansi pada Pelaku UMKM di Laweyan")</f>
        <v>Pengaruh Penggunaan Informasi Akuntansi pada Pelaku UMKM di Laweyan</v>
      </c>
      <c r="C622" s="7">
        <f>IFERROR(__xludf.DUMMYFUNCTION("""COMPUTED_VALUE"""),2023.0)</f>
        <v>2023</v>
      </c>
      <c r="D622" s="8" t="str">
        <f>IFERROR(__xludf.DUMMYFUNCTION("""COMPUTED_VALUE"""),"2022/2023")</f>
        <v>2022/2023</v>
      </c>
      <c r="E622" s="9">
        <f>IFERROR(__xludf.DUMMYFUNCTION("""COMPUTED_VALUE"""),45131.0)</f>
        <v>45131</v>
      </c>
      <c r="F622" s="5" t="str">
        <f>IFERROR(__xludf.DUMMYFUNCTION("""COMPUTED_VALUE"""),"Genap")</f>
        <v>Genap</v>
      </c>
      <c r="G622" s="5" t="str">
        <f>IFERROR(__xludf.DUMMYFUNCTION("""COMPUTED_VALUE"""),"Akuntansi")</f>
        <v>Akuntansi</v>
      </c>
      <c r="H622" s="10" t="str">
        <f>IFERROR(__xludf.DUMMYFUNCTION("""COMPUTED_VALUE"""),"Mahasiswa")</f>
        <v>Mahasiswa</v>
      </c>
      <c r="I622" s="6" t="str">
        <f>IFERROR(__xludf.DUMMYFUNCTION("""COMPUTED_VALUE"""),"Siti Aulia Widya Haryanto")</f>
        <v>Siti Aulia Widya Haryanto</v>
      </c>
      <c r="J622" s="6" t="str">
        <f>IFERROR(__xludf.DUMMYFUNCTION("""COMPUTED_VALUE"""),"Ismunawan")</f>
        <v>Ismunawan</v>
      </c>
      <c r="K622" s="6"/>
      <c r="L622" s="6"/>
      <c r="M622" s="6"/>
      <c r="N622" s="6"/>
      <c r="O622" s="6"/>
      <c r="P622" s="10" t="str">
        <f>IFERROR(__xludf.DUMMYFUNCTION("""COMPUTED_VALUE"""),"Siti Aulia Widya Haryanto,Ismunawan,,")</f>
        <v>Siti Aulia Widya Haryanto,Ismunawan,,</v>
      </c>
      <c r="Q622" s="11" t="str">
        <f>IFERROR(__xludf.DUMMYFUNCTION("""COMPUTED_VALUE"""),"https://repository.stiesurakarta.ac.id/submission/b3915ce9-05c6-49d1-b829-350f27aea4e0")</f>
        <v>https://repository.stiesurakarta.ac.id/submission/b3915ce9-05c6-49d1-b829-350f27aea4e0</v>
      </c>
      <c r="R622" s="6"/>
    </row>
    <row r="623">
      <c r="A623" s="5">
        <f>IFERROR(__xludf.DUMMYFUNCTION("""COMPUTED_VALUE"""),622.0)</f>
        <v>622</v>
      </c>
      <c r="B623" s="6" t="str">
        <f>IFERROR(__xludf.DUMMYFUNCTION("""COMPUTED_VALUE"""),"Faktor-faktor yang Mempengaruhi Kualitas Laba pada Perusahaan Transportasi di BEI")</f>
        <v>Faktor-faktor yang Mempengaruhi Kualitas Laba pada Perusahaan Transportasi di BEI</v>
      </c>
      <c r="C623" s="7">
        <f>IFERROR(__xludf.DUMMYFUNCTION("""COMPUTED_VALUE"""),2023.0)</f>
        <v>2023</v>
      </c>
      <c r="D623" s="8" t="str">
        <f>IFERROR(__xludf.DUMMYFUNCTION("""COMPUTED_VALUE"""),"2022/2023")</f>
        <v>2022/2023</v>
      </c>
      <c r="E623" s="9">
        <f>IFERROR(__xludf.DUMMYFUNCTION("""COMPUTED_VALUE"""),45132.0)</f>
        <v>45132</v>
      </c>
      <c r="F623" s="5" t="str">
        <f>IFERROR(__xludf.DUMMYFUNCTION("""COMPUTED_VALUE"""),"Genap")</f>
        <v>Genap</v>
      </c>
      <c r="G623" s="5" t="str">
        <f>IFERROR(__xludf.DUMMYFUNCTION("""COMPUTED_VALUE"""),"Akuntansi")</f>
        <v>Akuntansi</v>
      </c>
      <c r="H623" s="10" t="str">
        <f>IFERROR(__xludf.DUMMYFUNCTION("""COMPUTED_VALUE"""),"Mahasiswa")</f>
        <v>Mahasiswa</v>
      </c>
      <c r="I623" s="6" t="str">
        <f>IFERROR(__xludf.DUMMYFUNCTION("""COMPUTED_VALUE"""),"Sara Vernanda Raka Putri")</f>
        <v>Sara Vernanda Raka Putri</v>
      </c>
      <c r="J623" s="6" t="str">
        <f>IFERROR(__xludf.DUMMYFUNCTION("""COMPUTED_VALUE"""),"Pardi")</f>
        <v>Pardi</v>
      </c>
      <c r="K623" s="6"/>
      <c r="L623" s="6"/>
      <c r="M623" s="6"/>
      <c r="N623" s="6"/>
      <c r="O623" s="6"/>
      <c r="P623" s="10" t="str">
        <f>IFERROR(__xludf.DUMMYFUNCTION("""COMPUTED_VALUE"""),"Sara Vernanda Raka Putri,Pardi,,")</f>
        <v>Sara Vernanda Raka Putri,Pardi,,</v>
      </c>
      <c r="Q623" s="11" t="str">
        <f>IFERROR(__xludf.DUMMYFUNCTION("""COMPUTED_VALUE"""),"https://repository.stiesurakarta.ac.id/submission/7fb30999-a2bf-44b2-bbff-e77094aea8ad")</f>
        <v>https://repository.stiesurakarta.ac.id/submission/7fb30999-a2bf-44b2-bbff-e77094aea8ad</v>
      </c>
      <c r="R623" s="6"/>
    </row>
    <row r="624">
      <c r="A624" s="5">
        <f>IFERROR(__xludf.DUMMYFUNCTION("""COMPUTED_VALUE"""),623.0)</f>
        <v>623</v>
      </c>
      <c r="B624" s="6" t="str">
        <f>IFERROR(__xludf.DUMMYFUNCTION("""COMPUTED_VALUE"""),"Pengaruh Kepercayaan, Kemudahan, Brand Image Dan Kualitas Informasi Terhadap Keputusan Pembelian Pada Pengguna E-Commerce Shopee (Studi Kasus Pada Pengguna Aplikasi Shopee Di Kota Sukoharjo)")</f>
        <v>Pengaruh Kepercayaan, Kemudahan, Brand Image Dan Kualitas Informasi Terhadap Keputusan Pembelian Pada Pengguna E-Commerce Shopee (Studi Kasus Pada Pengguna Aplikasi Shopee Di Kota Sukoharjo)</v>
      </c>
      <c r="C624" s="7">
        <f>IFERROR(__xludf.DUMMYFUNCTION("""COMPUTED_VALUE"""),2023.0)</f>
        <v>2023</v>
      </c>
      <c r="D624" s="8" t="str">
        <f>IFERROR(__xludf.DUMMYFUNCTION("""COMPUTED_VALUE"""),"2022/2023")</f>
        <v>2022/2023</v>
      </c>
      <c r="E624" s="9">
        <f>IFERROR(__xludf.DUMMYFUNCTION("""COMPUTED_VALUE"""),45132.0)</f>
        <v>45132</v>
      </c>
      <c r="F624" s="5" t="str">
        <f>IFERROR(__xludf.DUMMYFUNCTION("""COMPUTED_VALUE"""),"Genap")</f>
        <v>Genap</v>
      </c>
      <c r="G624" s="5" t="str">
        <f>IFERROR(__xludf.DUMMYFUNCTION("""COMPUTED_VALUE"""),"Manajemen")</f>
        <v>Manajemen</v>
      </c>
      <c r="H624" s="10" t="str">
        <f>IFERROR(__xludf.DUMMYFUNCTION("""COMPUTED_VALUE"""),"Mahasiswa")</f>
        <v>Mahasiswa</v>
      </c>
      <c r="I624" s="6" t="str">
        <f>IFERROR(__xludf.DUMMYFUNCTION("""COMPUTED_VALUE"""),"Ana Dewi Marsalin")</f>
        <v>Ana Dewi Marsalin</v>
      </c>
      <c r="J624" s="6" t="str">
        <f>IFERROR(__xludf.DUMMYFUNCTION("""COMPUTED_VALUE"""),"Christiawan Hendratmoko")</f>
        <v>Christiawan Hendratmoko</v>
      </c>
      <c r="K624" s="6"/>
      <c r="L624" s="6"/>
      <c r="M624" s="6"/>
      <c r="N624" s="6"/>
      <c r="O624" s="6"/>
      <c r="P624" s="10" t="str">
        <f>IFERROR(__xludf.DUMMYFUNCTION("""COMPUTED_VALUE"""),"Ana Dewi Marsalin,Christiawan Hendratmoko,,")</f>
        <v>Ana Dewi Marsalin,Christiawan Hendratmoko,,</v>
      </c>
      <c r="Q624" s="11" t="str">
        <f>IFERROR(__xludf.DUMMYFUNCTION("""COMPUTED_VALUE"""),"https://ejurnal.stie-trianandra.ac.id/index.php/jubima/article/view/1870")</f>
        <v>https://ejurnal.stie-trianandra.ac.id/index.php/jubima/article/view/1870</v>
      </c>
      <c r="R624" s="6"/>
    </row>
    <row r="625">
      <c r="A625" s="5">
        <f>IFERROR(__xludf.DUMMYFUNCTION("""COMPUTED_VALUE"""),624.0)</f>
        <v>624</v>
      </c>
      <c r="B625" s="6" t="str">
        <f>IFERROR(__xludf.DUMMYFUNCTION("""COMPUTED_VALUE"""),"Dr. Gin Research Novelty Model")</f>
        <v>Dr. Gin Research Novelty Model</v>
      </c>
      <c r="C625" s="7">
        <f>IFERROR(__xludf.DUMMYFUNCTION("""COMPUTED_VALUE"""),2023.0)</f>
        <v>2023</v>
      </c>
      <c r="D625" s="8" t="str">
        <f>IFERROR(__xludf.DUMMYFUNCTION("""COMPUTED_VALUE"""),"2022/2023")</f>
        <v>2022/2023</v>
      </c>
      <c r="E625" s="9">
        <f>IFERROR(__xludf.DUMMYFUNCTION("""COMPUTED_VALUE"""),45133.0)</f>
        <v>45133</v>
      </c>
      <c r="F625" s="5" t="str">
        <f>IFERROR(__xludf.DUMMYFUNCTION("""COMPUTED_VALUE"""),"Genap")</f>
        <v>Genap</v>
      </c>
      <c r="G625" s="5" t="str">
        <f>IFERROR(__xludf.DUMMYFUNCTION("""COMPUTED_VALUE"""),"Manajemen")</f>
        <v>Manajemen</v>
      </c>
      <c r="H625" s="10" t="str">
        <f>IFERROR(__xludf.DUMMYFUNCTION("""COMPUTED_VALUE"""),"Dosen")</f>
        <v>Dosen</v>
      </c>
      <c r="I625" s="6" t="str">
        <f>IFERROR(__xludf.DUMMYFUNCTION("""COMPUTED_VALUE"""),"Ginanjar Rahmawan")</f>
        <v>Ginanjar Rahmawan</v>
      </c>
      <c r="J625" s="6"/>
      <c r="K625" s="6"/>
      <c r="L625" s="6"/>
      <c r="M625" s="6"/>
      <c r="N625" s="6"/>
      <c r="O625" s="6"/>
      <c r="P625" s="10" t="str">
        <f>IFERROR(__xludf.DUMMYFUNCTION("""COMPUTED_VALUE"""),"Ginanjar Rahmawan,,,")</f>
        <v>Ginanjar Rahmawan,,,</v>
      </c>
      <c r="Q625" s="11" t="str">
        <f>IFERROR(__xludf.DUMMYFUNCTION("""COMPUTED_VALUE"""),"https://drive.google.com/file/d/1oMA9_fsycXCg7_fRQ8X8uT7AAem0iTm2/view")</f>
        <v>https://drive.google.com/file/d/1oMA9_fsycXCg7_fRQ8X8uT7AAem0iTm2/view</v>
      </c>
      <c r="R625" s="6"/>
    </row>
    <row r="626">
      <c r="A626" s="5">
        <f>IFERROR(__xludf.DUMMYFUNCTION("""COMPUTED_VALUE"""),625.0)</f>
        <v>625</v>
      </c>
      <c r="B626" s="6" t="str">
        <f>IFERROR(__xludf.DUMMYFUNCTION("""COMPUTED_VALUE"""),"Pengaruh Current Ratio, Net Profit Margin Debt Assets To Ratio, Dan Perputaran Persediaan Terhadap Laba Perusahan")</f>
        <v>Pengaruh Current Ratio, Net Profit Margin Debt Assets To Ratio, Dan Perputaran Persediaan Terhadap Laba Perusahan</v>
      </c>
      <c r="C626" s="7">
        <f>IFERROR(__xludf.DUMMYFUNCTION("""COMPUTED_VALUE"""),2023.0)</f>
        <v>2023</v>
      </c>
      <c r="D626" s="8" t="str">
        <f>IFERROR(__xludf.DUMMYFUNCTION("""COMPUTED_VALUE"""),"2022/2023")</f>
        <v>2022/2023</v>
      </c>
      <c r="E626" s="9">
        <f>IFERROR(__xludf.DUMMYFUNCTION("""COMPUTED_VALUE"""),45134.0)</f>
        <v>45134</v>
      </c>
      <c r="F626" s="5" t="str">
        <f>IFERROR(__xludf.DUMMYFUNCTION("""COMPUTED_VALUE"""),"Genap")</f>
        <v>Genap</v>
      </c>
      <c r="G626" s="5" t="str">
        <f>IFERROR(__xludf.DUMMYFUNCTION("""COMPUTED_VALUE"""),"Akuntansi")</f>
        <v>Akuntansi</v>
      </c>
      <c r="H626" s="10" t="str">
        <f>IFERROR(__xludf.DUMMYFUNCTION("""COMPUTED_VALUE"""),"Mahasiswa")</f>
        <v>Mahasiswa</v>
      </c>
      <c r="I626" s="6" t="str">
        <f>IFERROR(__xludf.DUMMYFUNCTION("""COMPUTED_VALUE"""),"Rizqiani Nur Rhomadhoni
")</f>
        <v>Rizqiani Nur Rhomadhoni
</v>
      </c>
      <c r="J626" s="6" t="str">
        <f>IFERROR(__xludf.DUMMYFUNCTION("""COMPUTED_VALUE"""),"Ismunawan")</f>
        <v>Ismunawan</v>
      </c>
      <c r="K626" s="6"/>
      <c r="L626" s="6"/>
      <c r="M626" s="6"/>
      <c r="N626" s="6"/>
      <c r="O626" s="6"/>
      <c r="P626" s="10" t="str">
        <f>IFERROR(__xludf.DUMMYFUNCTION("""COMPUTED_VALUE"""),"Rizqiani Nur Rhomadhoni
,Ismunawan,,")</f>
        <v>Rizqiani Nur Rhomadhoni
,Ismunawan,,</v>
      </c>
      <c r="Q626" s="11" t="str">
        <f>IFERROR(__xludf.DUMMYFUNCTION("""COMPUTED_VALUE"""),"https://bajangjournal.com/index.php/JEMBA/article/view/6322")</f>
        <v>https://bajangjournal.com/index.php/JEMBA/article/view/6322</v>
      </c>
      <c r="R626" s="6"/>
    </row>
    <row r="627">
      <c r="A627" s="5">
        <f>IFERROR(__xludf.DUMMYFUNCTION("""COMPUTED_VALUE"""),626.0)</f>
        <v>626</v>
      </c>
      <c r="B627" s="6" t="str">
        <f>IFERROR(__xludf.DUMMYFUNCTION("""COMPUTED_VALUE"""),"Pengaruh Gaya Hidup, Online Customer Review Dan E-Wom Terhadap Keputusan Pengguna Aplikasi Ovo Di Solo Raya")</f>
        <v>Pengaruh Gaya Hidup, Online Customer Review Dan E-Wom Terhadap Keputusan Pengguna Aplikasi Ovo Di Solo Raya</v>
      </c>
      <c r="C627" s="7">
        <f>IFERROR(__xludf.DUMMYFUNCTION("""COMPUTED_VALUE"""),2023.0)</f>
        <v>2023</v>
      </c>
      <c r="D627" s="8" t="str">
        <f>IFERROR(__xludf.DUMMYFUNCTION("""COMPUTED_VALUE"""),"2022/2023")</f>
        <v>2022/2023</v>
      </c>
      <c r="E627" s="9">
        <f>IFERROR(__xludf.DUMMYFUNCTION("""COMPUTED_VALUE"""),45134.0)</f>
        <v>45134</v>
      </c>
      <c r="F627" s="5" t="str">
        <f>IFERROR(__xludf.DUMMYFUNCTION("""COMPUTED_VALUE"""),"Genap")</f>
        <v>Genap</v>
      </c>
      <c r="G627" s="5" t="str">
        <f>IFERROR(__xludf.DUMMYFUNCTION("""COMPUTED_VALUE"""),"Manajemen")</f>
        <v>Manajemen</v>
      </c>
      <c r="H627" s="10" t="str">
        <f>IFERROR(__xludf.DUMMYFUNCTION("""COMPUTED_VALUE"""),"Mahasiswa")</f>
        <v>Mahasiswa</v>
      </c>
      <c r="I627" s="6" t="str">
        <f>IFERROR(__xludf.DUMMYFUNCTION("""COMPUTED_VALUE"""),"Cindy Dayinta Puspitasari")</f>
        <v>Cindy Dayinta Puspitasari</v>
      </c>
      <c r="J627" s="6" t="str">
        <f>IFERROR(__xludf.DUMMYFUNCTION("""COMPUTED_VALUE"""),"Ari Susanti")</f>
        <v>Ari Susanti</v>
      </c>
      <c r="K627" s="6"/>
      <c r="L627" s="6"/>
      <c r="M627" s="6"/>
      <c r="N627" s="6"/>
      <c r="O627" s="6"/>
      <c r="P627" s="10" t="str">
        <f>IFERROR(__xludf.DUMMYFUNCTION("""COMPUTED_VALUE"""),"Cindy Dayinta Puspitasari,Ari Susanti,,")</f>
        <v>Cindy Dayinta Puspitasari,Ari Susanti,,</v>
      </c>
      <c r="Q627" s="11" t="str">
        <f>IFERROR(__xludf.DUMMYFUNCTION("""COMPUTED_VALUE"""),"https://ejurnal.stie-trianandra.ac.id/index.php/jubima/article/view/1892")</f>
        <v>https://ejurnal.stie-trianandra.ac.id/index.php/jubima/article/view/1892</v>
      </c>
      <c r="R627" s="6"/>
    </row>
    <row r="628">
      <c r="A628" s="5">
        <f>IFERROR(__xludf.DUMMYFUNCTION("""COMPUTED_VALUE"""),627.0)</f>
        <v>627</v>
      </c>
      <c r="B628" s="6" t="str">
        <f>IFERROR(__xludf.DUMMYFUNCTION("""COMPUTED_VALUE"""),"Analisis Laporan Keuangan Dalam Mengukur Kinerja Keuangan Pada Umkm Batik Kedunggudel Sukoharjo")</f>
        <v>Analisis Laporan Keuangan Dalam Mengukur Kinerja Keuangan Pada Umkm Batik Kedunggudel Sukoharjo</v>
      </c>
      <c r="C628" s="7">
        <f>IFERROR(__xludf.DUMMYFUNCTION("""COMPUTED_VALUE"""),2023.0)</f>
        <v>2023</v>
      </c>
      <c r="D628" s="8" t="str">
        <f>IFERROR(__xludf.DUMMYFUNCTION("""COMPUTED_VALUE"""),"2022/2023")</f>
        <v>2022/2023</v>
      </c>
      <c r="E628" s="9">
        <f>IFERROR(__xludf.DUMMYFUNCTION("""COMPUTED_VALUE"""),45137.0)</f>
        <v>45137</v>
      </c>
      <c r="F628" s="5" t="str">
        <f>IFERROR(__xludf.DUMMYFUNCTION("""COMPUTED_VALUE"""),"Genap")</f>
        <v>Genap</v>
      </c>
      <c r="G628" s="5" t="str">
        <f>IFERROR(__xludf.DUMMYFUNCTION("""COMPUTED_VALUE"""),"Akuntansi")</f>
        <v>Akuntansi</v>
      </c>
      <c r="H628" s="10" t="str">
        <f>IFERROR(__xludf.DUMMYFUNCTION("""COMPUTED_VALUE"""),"Dosen")</f>
        <v>Dosen</v>
      </c>
      <c r="I628" s="6" t="str">
        <f>IFERROR(__xludf.DUMMYFUNCTION("""COMPUTED_VALUE"""),"Astuning Saharsini")</f>
        <v>Astuning Saharsini</v>
      </c>
      <c r="J628" s="6" t="str">
        <f>IFERROR(__xludf.DUMMYFUNCTION("""COMPUTED_VALUE"""),"Ari Susanti")</f>
        <v>Ari Susanti</v>
      </c>
      <c r="K628" s="6" t="str">
        <f>IFERROR(__xludf.DUMMYFUNCTION("""COMPUTED_VALUE"""),"Era Trianita Saputra")</f>
        <v>Era Trianita Saputra</v>
      </c>
      <c r="L628" s="6" t="str">
        <f>IFERROR(__xludf.DUMMYFUNCTION("""COMPUTED_VALUE"""),"Budi Istiyanto")</f>
        <v>Budi Istiyanto</v>
      </c>
      <c r="M628" s="6" t="str">
        <f>IFERROR(__xludf.DUMMYFUNCTION("""COMPUTED_VALUE"""),"Aditya Liliyan")</f>
        <v>Aditya Liliyan</v>
      </c>
      <c r="N628" s="6" t="str">
        <f>IFERROR(__xludf.DUMMYFUNCTION("""COMPUTED_VALUE"""),"Sabiila Rahmat Tania")</f>
        <v>Sabiila Rahmat Tania</v>
      </c>
      <c r="O628" s="6"/>
      <c r="P628" s="10" t="str">
        <f>IFERROR(__xludf.DUMMYFUNCTION("""COMPUTED_VALUE"""),"Astuning Saharsini,Ari Susanti,Era Trianita Saputra,Budi Istiyanto")</f>
        <v>Astuning Saharsini,Ari Susanti,Era Trianita Saputra,Budi Istiyanto</v>
      </c>
      <c r="Q628" s="11" t="str">
        <f>IFERROR(__xludf.DUMMYFUNCTION("""COMPUTED_VALUE"""),"https://www.journal.unrika.ac.id/index.php/MNDBHRU/article/view/5372")</f>
        <v>https://www.journal.unrika.ac.id/index.php/MNDBHRU/article/view/5372</v>
      </c>
      <c r="R628" s="6"/>
    </row>
    <row r="629">
      <c r="A629" s="5">
        <f>IFERROR(__xludf.DUMMYFUNCTION("""COMPUTED_VALUE"""),628.0)</f>
        <v>628</v>
      </c>
      <c r="B629" s="6" t="str">
        <f>IFERROR(__xludf.DUMMYFUNCTION("""COMPUTED_VALUE"""),"Strategi Home Industri Konveksi Dalam Meningkatkan Pendapatan Rumah Tangga Masyarakat (Studi Kasus Gladag Konveksi Solo)")</f>
        <v>Strategi Home Industri Konveksi Dalam Meningkatkan Pendapatan Rumah Tangga Masyarakat (Studi Kasus Gladag Konveksi Solo)</v>
      </c>
      <c r="C629" s="7">
        <f>IFERROR(__xludf.DUMMYFUNCTION("""COMPUTED_VALUE"""),2023.0)</f>
        <v>2023</v>
      </c>
      <c r="D629" s="8" t="str">
        <f>IFERROR(__xludf.DUMMYFUNCTION("""COMPUTED_VALUE"""),"2022/2023")</f>
        <v>2022/2023</v>
      </c>
      <c r="E629" s="9">
        <f>IFERROR(__xludf.DUMMYFUNCTION("""COMPUTED_VALUE"""),45137.0)</f>
        <v>45137</v>
      </c>
      <c r="F629" s="5" t="str">
        <f>IFERROR(__xludf.DUMMYFUNCTION("""COMPUTED_VALUE"""),"Genap")</f>
        <v>Genap</v>
      </c>
      <c r="G629" s="5" t="str">
        <f>IFERROR(__xludf.DUMMYFUNCTION("""COMPUTED_VALUE"""),"Akuntansi")</f>
        <v>Akuntansi</v>
      </c>
      <c r="H629" s="10" t="str">
        <f>IFERROR(__xludf.DUMMYFUNCTION("""COMPUTED_VALUE"""),"Dosen")</f>
        <v>Dosen</v>
      </c>
      <c r="I629" s="6" t="str">
        <f>IFERROR(__xludf.DUMMYFUNCTION("""COMPUTED_VALUE"""),"Arif Nugroho Rachman")</f>
        <v>Arif Nugroho Rachman</v>
      </c>
      <c r="J629" s="6" t="str">
        <f>IFERROR(__xludf.DUMMYFUNCTION("""COMPUTED_VALUE"""),"Eko Triyanto")</f>
        <v>Eko Triyanto</v>
      </c>
      <c r="K629" s="6"/>
      <c r="L629" s="6"/>
      <c r="M629" s="6"/>
      <c r="N629" s="6"/>
      <c r="O629" s="6"/>
      <c r="P629" s="10" t="str">
        <f>IFERROR(__xludf.DUMMYFUNCTION("""COMPUTED_VALUE"""),"Arif Nugroho Rachman,Eko Triyanto,,")</f>
        <v>Arif Nugroho Rachman,Eko Triyanto,,</v>
      </c>
      <c r="Q629" s="11" t="str">
        <f>IFERROR(__xludf.DUMMYFUNCTION("""COMPUTED_VALUE"""),"https://docs.google.com/document/d/1FAFNA-u-RUShVLkhyg8yOsoVfWv7gMPY/edit?usp=drive_link&amp;ouid=113741177560435037779&amp;rtpof=true&amp;sd=true")</f>
        <v>https://docs.google.com/document/d/1FAFNA-u-RUShVLkhyg8yOsoVfWv7gMPY/edit?usp=drive_link&amp;ouid=113741177560435037779&amp;rtpof=true&amp;sd=true</v>
      </c>
      <c r="R629" s="6"/>
    </row>
    <row r="630">
      <c r="A630" s="5">
        <f>IFERROR(__xludf.DUMMYFUNCTION("""COMPUTED_VALUE"""),629.0)</f>
        <v>629</v>
      </c>
      <c r="B630" s="6" t="str">
        <f>IFERROR(__xludf.DUMMYFUNCTION("""COMPUTED_VALUE"""),"Determinan Konservatisme Akuntansi Pada Perusahaan Real Estate Dan Properti")</f>
        <v>Determinan Konservatisme Akuntansi Pada Perusahaan Real Estate Dan Properti</v>
      </c>
      <c r="C630" s="7">
        <f>IFERROR(__xludf.DUMMYFUNCTION("""COMPUTED_VALUE"""),2023.0)</f>
        <v>2023</v>
      </c>
      <c r="D630" s="8" t="str">
        <f>IFERROR(__xludf.DUMMYFUNCTION("""COMPUTED_VALUE"""),"2022/2023")</f>
        <v>2022/2023</v>
      </c>
      <c r="E630" s="9">
        <f>IFERROR(__xludf.DUMMYFUNCTION("""COMPUTED_VALUE"""),45138.0)</f>
        <v>45138</v>
      </c>
      <c r="F630" s="5" t="str">
        <f>IFERROR(__xludf.DUMMYFUNCTION("""COMPUTED_VALUE"""),"Genap")</f>
        <v>Genap</v>
      </c>
      <c r="G630" s="5" t="str">
        <f>IFERROR(__xludf.DUMMYFUNCTION("""COMPUTED_VALUE"""),"Akuntansi")</f>
        <v>Akuntansi</v>
      </c>
      <c r="H630" s="10" t="str">
        <f>IFERROR(__xludf.DUMMYFUNCTION("""COMPUTED_VALUE"""),"Mahasiswa")</f>
        <v>Mahasiswa</v>
      </c>
      <c r="I630" s="6" t="str">
        <f>IFERROR(__xludf.DUMMYFUNCTION("""COMPUTED_VALUE"""),"Raha Dewi Neta")</f>
        <v>Raha Dewi Neta</v>
      </c>
      <c r="J630" s="6" t="str">
        <f>IFERROR(__xludf.DUMMYFUNCTION("""COMPUTED_VALUE"""),"Ismunawan")</f>
        <v>Ismunawan</v>
      </c>
      <c r="K630" s="6"/>
      <c r="L630" s="6"/>
      <c r="M630" s="6"/>
      <c r="N630" s="6"/>
      <c r="O630" s="6"/>
      <c r="P630" s="10" t="str">
        <f>IFERROR(__xludf.DUMMYFUNCTION("""COMPUTED_VALUE"""),"Raha Dewi Neta,Ismunawan,,")</f>
        <v>Raha Dewi Neta,Ismunawan,,</v>
      </c>
      <c r="Q630" s="11" t="str">
        <f>IFERROR(__xludf.DUMMYFUNCTION("""COMPUTED_VALUE"""),"https://publikasi.polije.ac.id/asersi/article/view/3963")</f>
        <v>https://publikasi.polije.ac.id/asersi/article/view/3963</v>
      </c>
      <c r="R630" s="6"/>
    </row>
    <row r="631">
      <c r="A631" s="5">
        <f>IFERROR(__xludf.DUMMYFUNCTION("""COMPUTED_VALUE"""),630.0)</f>
        <v>630</v>
      </c>
      <c r="B631" s="6" t="str">
        <f>IFERROR(__xludf.DUMMYFUNCTION("""COMPUTED_VALUE"""),"Faktor-Faktor Yang Mempengaruhi Pendapatan Pedagang Pasar Sunggingan Boyolali")</f>
        <v>Faktor-Faktor Yang Mempengaruhi Pendapatan Pedagang Pasar Sunggingan Boyolali</v>
      </c>
      <c r="C631" s="7">
        <f>IFERROR(__xludf.DUMMYFUNCTION("""COMPUTED_VALUE"""),2023.0)</f>
        <v>2023</v>
      </c>
      <c r="D631" s="8" t="str">
        <f>IFERROR(__xludf.DUMMYFUNCTION("""COMPUTED_VALUE"""),"2022/2023")</f>
        <v>2022/2023</v>
      </c>
      <c r="E631" s="9">
        <f>IFERROR(__xludf.DUMMYFUNCTION("""COMPUTED_VALUE"""),45138.0)</f>
        <v>45138</v>
      </c>
      <c r="F631" s="5" t="str">
        <f>IFERROR(__xludf.DUMMYFUNCTION("""COMPUTED_VALUE"""),"Genap")</f>
        <v>Genap</v>
      </c>
      <c r="G631" s="5" t="str">
        <f>IFERROR(__xludf.DUMMYFUNCTION("""COMPUTED_VALUE"""),"Akuntansi")</f>
        <v>Akuntansi</v>
      </c>
      <c r="H631" s="10" t="str">
        <f>IFERROR(__xludf.DUMMYFUNCTION("""COMPUTED_VALUE"""),"Mahasiswa")</f>
        <v>Mahasiswa</v>
      </c>
      <c r="I631" s="6" t="str">
        <f>IFERROR(__xludf.DUMMYFUNCTION("""COMPUTED_VALUE"""),"Nawang Hana Safitri")</f>
        <v>Nawang Hana Safitri</v>
      </c>
      <c r="J631" s="6" t="str">
        <f>IFERROR(__xludf.DUMMYFUNCTION("""COMPUTED_VALUE"""),"Astuning Saharsini")</f>
        <v>Astuning Saharsini</v>
      </c>
      <c r="K631" s="6"/>
      <c r="L631" s="6"/>
      <c r="M631" s="6"/>
      <c r="N631" s="6"/>
      <c r="O631" s="6"/>
      <c r="P631" s="10" t="str">
        <f>IFERROR(__xludf.DUMMYFUNCTION("""COMPUTED_VALUE"""),"Nawang Hana Safitri,Astuning Saharsini,,")</f>
        <v>Nawang Hana Safitri,Astuning Saharsini,,</v>
      </c>
      <c r="Q631" s="11" t="str">
        <f>IFERROR(__xludf.DUMMYFUNCTION("""COMPUTED_VALUE"""),"https://jurnal.stie-aas.ac.id/index.php/jie/article/view/9805")</f>
        <v>https://jurnal.stie-aas.ac.id/index.php/jie/article/view/9805</v>
      </c>
      <c r="R631" s="6"/>
    </row>
    <row r="632">
      <c r="A632" s="5">
        <f>IFERROR(__xludf.DUMMYFUNCTION("""COMPUTED_VALUE"""),631.0)</f>
        <v>631</v>
      </c>
      <c r="B632" s="6" t="str">
        <f>IFERROR(__xludf.DUMMYFUNCTION("""COMPUTED_VALUE"""),"Pengaruh Sanksi Perpajakan, Sosialisasi Pajak, Sikap Rasional Dan Kesadaran Wajib Pajak Terhadap Kepatuhan Wajib Pajak Kendaraan Bermotor Di Kota Surakarta")</f>
        <v>Pengaruh Sanksi Perpajakan, Sosialisasi Pajak, Sikap Rasional Dan Kesadaran Wajib Pajak Terhadap Kepatuhan Wajib Pajak Kendaraan Bermotor Di Kota Surakarta</v>
      </c>
      <c r="C632" s="7">
        <f>IFERROR(__xludf.DUMMYFUNCTION("""COMPUTED_VALUE"""),2023.0)</f>
        <v>2023</v>
      </c>
      <c r="D632" s="8" t="str">
        <f>IFERROR(__xludf.DUMMYFUNCTION("""COMPUTED_VALUE"""),"2022/2023")</f>
        <v>2022/2023</v>
      </c>
      <c r="E632" s="9">
        <f>IFERROR(__xludf.DUMMYFUNCTION("""COMPUTED_VALUE"""),45138.0)</f>
        <v>45138</v>
      </c>
      <c r="F632" s="5" t="str">
        <f>IFERROR(__xludf.DUMMYFUNCTION("""COMPUTED_VALUE"""),"Genap")</f>
        <v>Genap</v>
      </c>
      <c r="G632" s="5" t="str">
        <f>IFERROR(__xludf.DUMMYFUNCTION("""COMPUTED_VALUE"""),"Akuntansi")</f>
        <v>Akuntansi</v>
      </c>
      <c r="H632" s="10" t="str">
        <f>IFERROR(__xludf.DUMMYFUNCTION("""COMPUTED_VALUE"""),"Mahasiswa")</f>
        <v>Mahasiswa</v>
      </c>
      <c r="I632" s="6" t="str">
        <f>IFERROR(__xludf.DUMMYFUNCTION("""COMPUTED_VALUE"""),"Malik Fajar Pangestu")</f>
        <v>Malik Fajar Pangestu</v>
      </c>
      <c r="J632" s="6" t="str">
        <f>IFERROR(__xludf.DUMMYFUNCTION("""COMPUTED_VALUE"""),"Arif Nugroho Rachman")</f>
        <v>Arif Nugroho Rachman</v>
      </c>
      <c r="K632" s="6" t="str">
        <f>IFERROR(__xludf.DUMMYFUNCTION("""COMPUTED_VALUE"""),"Amy Wulandari")</f>
        <v>Amy Wulandari</v>
      </c>
      <c r="L632" s="6"/>
      <c r="M632" s="6"/>
      <c r="N632" s="6"/>
      <c r="O632" s="6"/>
      <c r="P632" s="10" t="str">
        <f>IFERROR(__xludf.DUMMYFUNCTION("""COMPUTED_VALUE"""),"Malik Fajar Pangestu,Arif Nugroho Rachman,Amy Wulandari,")</f>
        <v>Malik Fajar Pangestu,Arif Nugroho Rachman,Amy Wulandari,</v>
      </c>
      <c r="Q632" s="11" t="str">
        <f>IFERROR(__xludf.DUMMYFUNCTION("""COMPUTED_VALUE"""),"https://jurnal.unw.ac.id/index.php/jibaku/article/view/2501")</f>
        <v>https://jurnal.unw.ac.id/index.php/jibaku/article/view/2501</v>
      </c>
      <c r="R632" s="6"/>
    </row>
    <row r="633">
      <c r="A633" s="5">
        <f>IFERROR(__xludf.DUMMYFUNCTION("""COMPUTED_VALUE"""),632.0)</f>
        <v>632</v>
      </c>
      <c r="B633" s="6" t="str">
        <f>IFERROR(__xludf.DUMMYFUNCTION("""COMPUTED_VALUE"""),"Pelatihan Digital Marketing")</f>
        <v>Pelatihan Digital Marketing</v>
      </c>
      <c r="C633" s="7">
        <f>IFERROR(__xludf.DUMMYFUNCTION("""COMPUTED_VALUE"""),2023.0)</f>
        <v>2023</v>
      </c>
      <c r="D633" s="8" t="str">
        <f>IFERROR(__xludf.DUMMYFUNCTION("""COMPUTED_VALUE"""),"2022/2023")</f>
        <v>2022/2023</v>
      </c>
      <c r="E633" s="9">
        <f>IFERROR(__xludf.DUMMYFUNCTION("""COMPUTED_VALUE"""),45140.0)</f>
        <v>45140</v>
      </c>
      <c r="F633" s="5" t="str">
        <f>IFERROR(__xludf.DUMMYFUNCTION("""COMPUTED_VALUE"""),"Genap")</f>
        <v>Genap</v>
      </c>
      <c r="G633" s="5" t="str">
        <f>IFERROR(__xludf.DUMMYFUNCTION("""COMPUTED_VALUE"""),"Akuntansi")</f>
        <v>Akuntansi</v>
      </c>
      <c r="H633" s="10" t="str">
        <f>IFERROR(__xludf.DUMMYFUNCTION("""COMPUTED_VALUE"""),"Dosen")</f>
        <v>Dosen</v>
      </c>
      <c r="I633" s="6" t="str">
        <f>IFERROR(__xludf.DUMMYFUNCTION("""COMPUTED_VALUE"""),"Arif Nugroho Rachman")</f>
        <v>Arif Nugroho Rachman</v>
      </c>
      <c r="J633" s="6"/>
      <c r="K633" s="6"/>
      <c r="L633" s="6"/>
      <c r="M633" s="6"/>
      <c r="N633" s="6"/>
      <c r="O633" s="6"/>
      <c r="P633" s="10" t="str">
        <f>IFERROR(__xludf.DUMMYFUNCTION("""COMPUTED_VALUE"""),"Arif Nugroho Rachman,,,")</f>
        <v>Arif Nugroho Rachman,,,</v>
      </c>
      <c r="Q633" s="11" t="str">
        <f>IFERROR(__xludf.DUMMYFUNCTION("""COMPUTED_VALUE"""),"https://drive.google.com/drive/folders/1gc6DRZ3rc8Isl4_CuBHNmiBI9V9juWxg?usp=drive_link")</f>
        <v>https://drive.google.com/drive/folders/1gc6DRZ3rc8Isl4_CuBHNmiBI9V9juWxg?usp=drive_link</v>
      </c>
      <c r="R633" s="6"/>
    </row>
    <row r="634">
      <c r="A634" s="5">
        <f>IFERROR(__xludf.DUMMYFUNCTION("""COMPUTED_VALUE"""),633.0)</f>
        <v>633</v>
      </c>
      <c r="B634" s="6" t="str">
        <f>IFERROR(__xludf.DUMMYFUNCTION("""COMPUTED_VALUE"""),"Faktor – Faktor Yang Mempengaruhi Minat Investasi Generasi Z Mahasiswa STIE Surakarta Di Pasar Modal")</f>
        <v>Faktor – Faktor Yang Mempengaruhi Minat Investasi Generasi Z Mahasiswa STIE Surakarta Di Pasar Modal</v>
      </c>
      <c r="C634" s="7">
        <f>IFERROR(__xludf.DUMMYFUNCTION("""COMPUTED_VALUE"""),2023.0)</f>
        <v>2023</v>
      </c>
      <c r="D634" s="8" t="str">
        <f>IFERROR(__xludf.DUMMYFUNCTION("""COMPUTED_VALUE"""),"2022/2023")</f>
        <v>2022/2023</v>
      </c>
      <c r="E634" s="9">
        <f>IFERROR(__xludf.DUMMYFUNCTION("""COMPUTED_VALUE"""),45141.0)</f>
        <v>45141</v>
      </c>
      <c r="F634" s="5" t="str">
        <f>IFERROR(__xludf.DUMMYFUNCTION("""COMPUTED_VALUE"""),"Genap")</f>
        <v>Genap</v>
      </c>
      <c r="G634" s="5" t="str">
        <f>IFERROR(__xludf.DUMMYFUNCTION("""COMPUTED_VALUE"""),"Akuntansi")</f>
        <v>Akuntansi</v>
      </c>
      <c r="H634" s="10" t="str">
        <f>IFERROR(__xludf.DUMMYFUNCTION("""COMPUTED_VALUE"""),"Mahasiswa")</f>
        <v>Mahasiswa</v>
      </c>
      <c r="I634" s="6" t="str">
        <f>IFERROR(__xludf.DUMMYFUNCTION("""COMPUTED_VALUE"""),"Febby Rahmawati")</f>
        <v>Febby Rahmawati</v>
      </c>
      <c r="J634" s="6" t="str">
        <f>IFERROR(__xludf.DUMMYFUNCTION("""COMPUTED_VALUE"""),"Rosita")</f>
        <v>Rosita</v>
      </c>
      <c r="K634" s="6"/>
      <c r="L634" s="6"/>
      <c r="M634" s="6"/>
      <c r="N634" s="6"/>
      <c r="O634" s="6"/>
      <c r="P634" s="10" t="str">
        <f>IFERROR(__xludf.DUMMYFUNCTION("""COMPUTED_VALUE"""),"Febby Rahmawati,Rosita,,")</f>
        <v>Febby Rahmawati,Rosita,,</v>
      </c>
      <c r="Q634" s="11" t="str">
        <f>IFERROR(__xludf.DUMMYFUNCTION("""COMPUTED_VALUE"""),"https://jurnal2.untagsmg.ac.id/index.php/Transformasi/article/view/963")</f>
        <v>https://jurnal2.untagsmg.ac.id/index.php/Transformasi/article/view/963</v>
      </c>
      <c r="R634" s="6"/>
    </row>
    <row r="635">
      <c r="A635" s="5">
        <f>IFERROR(__xludf.DUMMYFUNCTION("""COMPUTED_VALUE"""),634.0)</f>
        <v>634</v>
      </c>
      <c r="B635" s="6" t="str">
        <f>IFERROR(__xludf.DUMMYFUNCTION("""COMPUTED_VALUE"""),"Determinan Kinerja Keuangan Umkm Kuliner Di Kota Solo")</f>
        <v>Determinan Kinerja Keuangan Umkm Kuliner Di Kota Solo</v>
      </c>
      <c r="C635" s="7">
        <f>IFERROR(__xludf.DUMMYFUNCTION("""COMPUTED_VALUE"""),2023.0)</f>
        <v>2023</v>
      </c>
      <c r="D635" s="8" t="str">
        <f>IFERROR(__xludf.DUMMYFUNCTION("""COMPUTED_VALUE"""),"2022/2023")</f>
        <v>2022/2023</v>
      </c>
      <c r="E635" s="9">
        <f>IFERROR(__xludf.DUMMYFUNCTION("""COMPUTED_VALUE"""),45141.0)</f>
        <v>45141</v>
      </c>
      <c r="F635" s="5" t="str">
        <f>IFERROR(__xludf.DUMMYFUNCTION("""COMPUTED_VALUE"""),"Genap")</f>
        <v>Genap</v>
      </c>
      <c r="G635" s="5" t="str">
        <f>IFERROR(__xludf.DUMMYFUNCTION("""COMPUTED_VALUE"""),"Akuntansi")</f>
        <v>Akuntansi</v>
      </c>
      <c r="H635" s="10" t="str">
        <f>IFERROR(__xludf.DUMMYFUNCTION("""COMPUTED_VALUE"""),"Mahasiswa")</f>
        <v>Mahasiswa</v>
      </c>
      <c r="I635" s="6" t="str">
        <f>IFERROR(__xludf.DUMMYFUNCTION("""COMPUTED_VALUE"""),"Ririn Wulandari")</f>
        <v>Ririn Wulandari</v>
      </c>
      <c r="J635" s="6" t="str">
        <f>IFERROR(__xludf.DUMMYFUNCTION("""COMPUTED_VALUE"""),"Pardi")</f>
        <v>Pardi</v>
      </c>
      <c r="K635" s="6" t="str">
        <f>IFERROR(__xludf.DUMMYFUNCTION("""COMPUTED_VALUE"""),"Astuning Saharsini")</f>
        <v>Astuning Saharsini</v>
      </c>
      <c r="L635" s="6" t="str">
        <f>IFERROR(__xludf.DUMMYFUNCTION("""COMPUTED_VALUE"""),"Era Trianita")</f>
        <v>Era Trianita</v>
      </c>
      <c r="M635" s="6"/>
      <c r="N635" s="6"/>
      <c r="O635" s="6"/>
      <c r="P635" s="10" t="str">
        <f>IFERROR(__xludf.DUMMYFUNCTION("""COMPUTED_VALUE"""),"Ririn Wulandari,Pardi,Astuning Saharsini,Era Trianita")</f>
        <v>Ririn Wulandari,Pardi,Astuning Saharsini,Era Trianita</v>
      </c>
      <c r="Q635" s="11" t="str">
        <f>IFERROR(__xludf.DUMMYFUNCTION("""COMPUTED_VALUE"""),"https://ifrelresearch.org/index.php/jap-widyakarya/article/view/1034")</f>
        <v>https://ifrelresearch.org/index.php/jap-widyakarya/article/view/1034</v>
      </c>
      <c r="R635" s="6"/>
    </row>
    <row r="636">
      <c r="A636" s="5">
        <f>IFERROR(__xludf.DUMMYFUNCTION("""COMPUTED_VALUE"""),635.0)</f>
        <v>635</v>
      </c>
      <c r="B636" s="6" t="str">
        <f>IFERROR(__xludf.DUMMYFUNCTION("""COMPUTED_VALUE"""),"Faktor-Faktor Yang Mempengaruhi Minat Investasi Generasi Z Mahasiswa STIE Surakarta Di Pasar Modal")</f>
        <v>Faktor-Faktor Yang Mempengaruhi Minat Investasi Generasi Z Mahasiswa STIE Surakarta Di Pasar Modal</v>
      </c>
      <c r="C636" s="7">
        <f>IFERROR(__xludf.DUMMYFUNCTION("""COMPUTED_VALUE"""),2023.0)</f>
        <v>2023</v>
      </c>
      <c r="D636" s="8" t="str">
        <f>IFERROR(__xludf.DUMMYFUNCTION("""COMPUTED_VALUE"""),"2022/2023")</f>
        <v>2022/2023</v>
      </c>
      <c r="E636" s="9">
        <f>IFERROR(__xludf.DUMMYFUNCTION("""COMPUTED_VALUE"""),45141.0)</f>
        <v>45141</v>
      </c>
      <c r="F636" s="5" t="str">
        <f>IFERROR(__xludf.DUMMYFUNCTION("""COMPUTED_VALUE"""),"Genap")</f>
        <v>Genap</v>
      </c>
      <c r="G636" s="5" t="str">
        <f>IFERROR(__xludf.DUMMYFUNCTION("""COMPUTED_VALUE"""),"Akuntansi")</f>
        <v>Akuntansi</v>
      </c>
      <c r="H636" s="10" t="str">
        <f>IFERROR(__xludf.DUMMYFUNCTION("""COMPUTED_VALUE"""),"Mahasiswa")</f>
        <v>Mahasiswa</v>
      </c>
      <c r="I636" s="6" t="str">
        <f>IFERROR(__xludf.DUMMYFUNCTION("""COMPUTED_VALUE"""),"Febby Rahmawati")</f>
        <v>Febby Rahmawati</v>
      </c>
      <c r="J636" s="6" t="str">
        <f>IFERROR(__xludf.DUMMYFUNCTION("""COMPUTED_VALUE"""),"Rosita")</f>
        <v>Rosita</v>
      </c>
      <c r="K636" s="6"/>
      <c r="L636" s="6"/>
      <c r="M636" s="6"/>
      <c r="N636" s="6"/>
      <c r="O636" s="6"/>
      <c r="P636" s="10" t="str">
        <f>IFERROR(__xludf.DUMMYFUNCTION("""COMPUTED_VALUE"""),"Febby Rahmawati,Rosita,,")</f>
        <v>Febby Rahmawati,Rosita,,</v>
      </c>
      <c r="Q636" s="11" t="str">
        <f>IFERROR(__xludf.DUMMYFUNCTION("""COMPUTED_VALUE"""),"https://jurnal2.untagsmg.ac.id/index.php/Transformasi/article/view/963/876")</f>
        <v>https://jurnal2.untagsmg.ac.id/index.php/Transformasi/article/view/963/876</v>
      </c>
      <c r="R636" s="6"/>
    </row>
    <row r="637">
      <c r="A637" s="5">
        <f>IFERROR(__xludf.DUMMYFUNCTION("""COMPUTED_VALUE"""),636.0)</f>
        <v>636</v>
      </c>
      <c r="B637" s="6" t="str">
        <f>IFERROR(__xludf.DUMMYFUNCTION("""COMPUTED_VALUE"""),"Determinan Minat Mahasiswa Akuntansi Memilih Karir Entrepreneur Dengan Pendidikan Kewirausahaan Sebagai Variabel Intervening (Studi Empiris Pada Mahasiswa Stie Surakarta)")</f>
        <v>Determinan Minat Mahasiswa Akuntansi Memilih Karir Entrepreneur Dengan Pendidikan Kewirausahaan Sebagai Variabel Intervening (Studi Empiris Pada Mahasiswa Stie Surakarta)</v>
      </c>
      <c r="C637" s="7">
        <f>IFERROR(__xludf.DUMMYFUNCTION("""COMPUTED_VALUE"""),2023.0)</f>
        <v>2023</v>
      </c>
      <c r="D637" s="8" t="str">
        <f>IFERROR(__xludf.DUMMYFUNCTION("""COMPUTED_VALUE"""),"2022/2023")</f>
        <v>2022/2023</v>
      </c>
      <c r="E637" s="9">
        <f>IFERROR(__xludf.DUMMYFUNCTION("""COMPUTED_VALUE"""),45148.0)</f>
        <v>45148</v>
      </c>
      <c r="F637" s="5" t="str">
        <f>IFERROR(__xludf.DUMMYFUNCTION("""COMPUTED_VALUE"""),"Genap")</f>
        <v>Genap</v>
      </c>
      <c r="G637" s="5" t="str">
        <f>IFERROR(__xludf.DUMMYFUNCTION("""COMPUTED_VALUE"""),"Akuntansi")</f>
        <v>Akuntansi</v>
      </c>
      <c r="H637" s="10" t="str">
        <f>IFERROR(__xludf.DUMMYFUNCTION("""COMPUTED_VALUE"""),"Dosen")</f>
        <v>Dosen</v>
      </c>
      <c r="I637" s="6" t="str">
        <f>IFERROR(__xludf.DUMMYFUNCTION("""COMPUTED_VALUE"""),"Dewi Ika Octavia")</f>
        <v>Dewi Ika Octavia</v>
      </c>
      <c r="J637" s="6" t="str">
        <f>IFERROR(__xludf.DUMMYFUNCTION("""COMPUTED_VALUE"""),"Ari Susanti")</f>
        <v>Ari Susanti</v>
      </c>
      <c r="K637" s="6" t="str">
        <f>IFERROR(__xludf.DUMMYFUNCTION("""COMPUTED_VALUE"""),"Era Trianita Saputra")</f>
        <v>Era Trianita Saputra</v>
      </c>
      <c r="L637" s="6"/>
      <c r="M637" s="6"/>
      <c r="N637" s="6"/>
      <c r="O637" s="6"/>
      <c r="P637" s="10" t="str">
        <f>IFERROR(__xludf.DUMMYFUNCTION("""COMPUTED_VALUE"""),"Dewi Ika Octavia,Ari Susanti,Era Trianita Saputra,")</f>
        <v>Dewi Ika Octavia,Ari Susanti,Era Trianita Saputra,</v>
      </c>
      <c r="Q637" s="11" t="str">
        <f>IFERROR(__xludf.DUMMYFUNCTION("""COMPUTED_VALUE"""),"https://drive.google.com/file/d/1PlXK3xtforgsfHFyou2ICBQOMiqQiv7c/view?usp=sharing")</f>
        <v>https://drive.google.com/file/d/1PlXK3xtforgsfHFyou2ICBQOMiqQiv7c/view?usp=sharing</v>
      </c>
      <c r="R637" s="6"/>
    </row>
    <row r="638">
      <c r="A638" s="5">
        <f>IFERROR(__xludf.DUMMYFUNCTION("""COMPUTED_VALUE"""),637.0)</f>
        <v>637</v>
      </c>
      <c r="B638" s="6" t="str">
        <f>IFERROR(__xludf.DUMMYFUNCTION("""COMPUTED_VALUE"""),"Pengaruh Pengetahuan Investasi, Modal Awal Investasi dan Sosial Media Influencer terhadap Minat Berinvestasi Mahasiswa di Pasar Modal (Studi Empiris pada Sekolah Tinggi Ilmu Ekonomi Surakarta)")</f>
        <v>Pengaruh Pengetahuan Investasi, Modal Awal Investasi dan Sosial Media Influencer terhadap Minat Berinvestasi Mahasiswa di Pasar Modal (Studi Empiris pada Sekolah Tinggi Ilmu Ekonomi Surakarta)</v>
      </c>
      <c r="C638" s="7">
        <f>IFERROR(__xludf.DUMMYFUNCTION("""COMPUTED_VALUE"""),2023.0)</f>
        <v>2023</v>
      </c>
      <c r="D638" s="8" t="str">
        <f>IFERROR(__xludf.DUMMYFUNCTION("""COMPUTED_VALUE"""),"2022/2023")</f>
        <v>2022/2023</v>
      </c>
      <c r="E638" s="9">
        <f>IFERROR(__xludf.DUMMYFUNCTION("""COMPUTED_VALUE"""),45150.0)</f>
        <v>45150</v>
      </c>
      <c r="F638" s="5" t="str">
        <f>IFERROR(__xludf.DUMMYFUNCTION("""COMPUTED_VALUE"""),"Genap")</f>
        <v>Genap</v>
      </c>
      <c r="G638" s="5" t="str">
        <f>IFERROR(__xludf.DUMMYFUNCTION("""COMPUTED_VALUE"""),"Akuntansi")</f>
        <v>Akuntansi</v>
      </c>
      <c r="H638" s="10" t="str">
        <f>IFERROR(__xludf.DUMMYFUNCTION("""COMPUTED_VALUE"""),"Mahasiswa")</f>
        <v>Mahasiswa</v>
      </c>
      <c r="I638" s="6" t="str">
        <f>IFERROR(__xludf.DUMMYFUNCTION("""COMPUTED_VALUE"""),"Putri Dwi Siswanti")</f>
        <v>Putri Dwi Siswanti</v>
      </c>
      <c r="J638" s="6" t="str">
        <f>IFERROR(__xludf.DUMMYFUNCTION("""COMPUTED_VALUE"""),"Eko Triyanto")</f>
        <v>Eko Triyanto</v>
      </c>
      <c r="K638" s="6"/>
      <c r="L638" s="6"/>
      <c r="M638" s="6"/>
      <c r="N638" s="6"/>
      <c r="O638" s="6"/>
      <c r="P638" s="10" t="str">
        <f>IFERROR(__xludf.DUMMYFUNCTION("""COMPUTED_VALUE"""),"Putri Dwi Siswanti,Eko Triyanto,,")</f>
        <v>Putri Dwi Siswanti,Eko Triyanto,,</v>
      </c>
      <c r="Q638" s="11" t="str">
        <f>IFERROR(__xludf.DUMMYFUNCTION("""COMPUTED_VALUE"""),"https://journalshub.org/index.php/jebaku/article/view/1589")</f>
        <v>https://journalshub.org/index.php/jebaku/article/view/1589</v>
      </c>
      <c r="R638" s="6"/>
    </row>
    <row r="639">
      <c r="A639" s="5">
        <f>IFERROR(__xludf.DUMMYFUNCTION("""COMPUTED_VALUE"""),638.0)</f>
        <v>638</v>
      </c>
      <c r="B639" s="6" t="str">
        <f>IFERROR(__xludf.DUMMYFUNCTION("""COMPUTED_VALUE"""),"Pengaruh Persepsi Kemudahan, Persepsi Manfaat Dan Promosi Terhadap Minat Penggunaan Shopeepay Pada Masyarakat Di Kota Surakarta")</f>
        <v>Pengaruh Persepsi Kemudahan, Persepsi Manfaat Dan Promosi Terhadap Minat Penggunaan Shopeepay Pada Masyarakat Di Kota Surakarta</v>
      </c>
      <c r="C639" s="7">
        <f>IFERROR(__xludf.DUMMYFUNCTION("""COMPUTED_VALUE"""),2023.0)</f>
        <v>2023</v>
      </c>
      <c r="D639" s="8" t="str">
        <f>IFERROR(__xludf.DUMMYFUNCTION("""COMPUTED_VALUE"""),"2022/2023")</f>
        <v>2022/2023</v>
      </c>
      <c r="E639" s="9">
        <f>IFERROR(__xludf.DUMMYFUNCTION("""COMPUTED_VALUE"""),45151.0)</f>
        <v>45151</v>
      </c>
      <c r="F639" s="5" t="str">
        <f>IFERROR(__xludf.DUMMYFUNCTION("""COMPUTED_VALUE"""),"Genap")</f>
        <v>Genap</v>
      </c>
      <c r="G639" s="5" t="str">
        <f>IFERROR(__xludf.DUMMYFUNCTION("""COMPUTED_VALUE"""),"Akuntansi")</f>
        <v>Akuntansi</v>
      </c>
      <c r="H639" s="10" t="str">
        <f>IFERROR(__xludf.DUMMYFUNCTION("""COMPUTED_VALUE"""),"Mahasiswa")</f>
        <v>Mahasiswa</v>
      </c>
      <c r="I639" s="6" t="str">
        <f>IFERROR(__xludf.DUMMYFUNCTION("""COMPUTED_VALUE"""),"Putri Avrinia Anjasar
")</f>
        <v>Putri Avrinia Anjasar
</v>
      </c>
      <c r="J639" s="6" t="str">
        <f>IFERROR(__xludf.DUMMYFUNCTION("""COMPUTED_VALUE"""),"Tri Ratna Pamikatsih")</f>
        <v>Tri Ratna Pamikatsih</v>
      </c>
      <c r="K639" s="6"/>
      <c r="L639" s="6"/>
      <c r="M639" s="6"/>
      <c r="N639" s="6"/>
      <c r="O639" s="6"/>
      <c r="P639" s="10" t="str">
        <f>IFERROR(__xludf.DUMMYFUNCTION("""COMPUTED_VALUE"""),"Putri Avrinia Anjasar
,Tri Ratna Pamikatsih,,")</f>
        <v>Putri Avrinia Anjasar
,Tri Ratna Pamikatsih,,</v>
      </c>
      <c r="Q639" s="11" t="str">
        <f>IFERROR(__xludf.DUMMYFUNCTION("""COMPUTED_VALUE"""),"https://ejournal.nusantaraglobal.ac.id/index.php/sentri/article/view/1396")</f>
        <v>https://ejournal.nusantaraglobal.ac.id/index.php/sentri/article/view/1396</v>
      </c>
      <c r="R639" s="6"/>
    </row>
    <row r="640">
      <c r="A640" s="5">
        <f>IFERROR(__xludf.DUMMYFUNCTION("""COMPUTED_VALUE"""),639.0)</f>
        <v>639</v>
      </c>
      <c r="B640" s="6" t="str">
        <f>IFERROR(__xludf.DUMMYFUNCTION("""COMPUTED_VALUE"""),"PENGARUH BEBAN KERJA, LINGKUNGAN KERJA DAN KOMUNIKASI TERHADAP KINERJA PEGAWAI PADA DISPERUMKIMTAN KOTA SURAKARTA")</f>
        <v>PENGARUH BEBAN KERJA, LINGKUNGAN KERJA DAN KOMUNIKASI TERHADAP KINERJA PEGAWAI PADA DISPERUMKIMTAN KOTA SURAKARTA</v>
      </c>
      <c r="C640" s="7">
        <f>IFERROR(__xludf.DUMMYFUNCTION("""COMPUTED_VALUE"""),2023.0)</f>
        <v>2023</v>
      </c>
      <c r="D640" s="8" t="str">
        <f>IFERROR(__xludf.DUMMYFUNCTION("""COMPUTED_VALUE"""),"2022/2023")</f>
        <v>2022/2023</v>
      </c>
      <c r="E640" s="9">
        <f>IFERROR(__xludf.DUMMYFUNCTION("""COMPUTED_VALUE"""),45152.0)</f>
        <v>45152</v>
      </c>
      <c r="F640" s="5" t="str">
        <f>IFERROR(__xludf.DUMMYFUNCTION("""COMPUTED_VALUE"""),"Genap")</f>
        <v>Genap</v>
      </c>
      <c r="G640" s="5" t="str">
        <f>IFERROR(__xludf.DUMMYFUNCTION("""COMPUTED_VALUE"""),"")</f>
        <v/>
      </c>
      <c r="H640" s="10" t="str">
        <f>IFERROR(__xludf.DUMMYFUNCTION("""COMPUTED_VALUE"""),"Mahasiswa")</f>
        <v>Mahasiswa</v>
      </c>
      <c r="I640" s="6" t="str">
        <f>IFERROR(__xludf.DUMMYFUNCTION("""COMPUTED_VALUE"""),"Sinta Ramadhanti")</f>
        <v>Sinta Ramadhanti</v>
      </c>
      <c r="J640" s="6"/>
      <c r="K640" s="6"/>
      <c r="L640" s="6"/>
      <c r="M640" s="6"/>
      <c r="N640" s="6"/>
      <c r="O640" s="6"/>
      <c r="P640" s="10" t="str">
        <f>IFERROR(__xludf.DUMMYFUNCTION("""COMPUTED_VALUE"""),"Sinta Ramadhanti,,,")</f>
        <v>Sinta Ramadhanti,,,</v>
      </c>
      <c r="Q640" s="11" t="str">
        <f>IFERROR(__xludf.DUMMYFUNCTION("""COMPUTED_VALUE"""),"https://ejurnal.stie-trianandra.ac.id/index.php/jsr/article/view/1969")</f>
        <v>https://ejurnal.stie-trianandra.ac.id/index.php/jsr/article/view/1969</v>
      </c>
      <c r="R640" s="6"/>
    </row>
    <row r="641">
      <c r="A641" s="5">
        <f>IFERROR(__xludf.DUMMYFUNCTION("""COMPUTED_VALUE"""),640.0)</f>
        <v>640</v>
      </c>
      <c r="B641" s="6" t="str">
        <f>IFERROR(__xludf.DUMMYFUNCTION("""COMPUTED_VALUE"""),"Pengaruh Pendidikan Kewirausahaan dan Motivasi terhadap Minat Berwirausaha pada Mahasiswa")</f>
        <v>Pengaruh Pendidikan Kewirausahaan dan Motivasi terhadap Minat Berwirausaha pada Mahasiswa</v>
      </c>
      <c r="C641" s="7">
        <f>IFERROR(__xludf.DUMMYFUNCTION("""COMPUTED_VALUE"""),2023.0)</f>
        <v>2023</v>
      </c>
      <c r="D641" s="8" t="str">
        <f>IFERROR(__xludf.DUMMYFUNCTION("""COMPUTED_VALUE"""),"2022/2023")</f>
        <v>2022/2023</v>
      </c>
      <c r="E641" s="9">
        <f>IFERROR(__xludf.DUMMYFUNCTION("""COMPUTED_VALUE"""),45153.0)</f>
        <v>45153</v>
      </c>
      <c r="F641" s="5" t="str">
        <f>IFERROR(__xludf.DUMMYFUNCTION("""COMPUTED_VALUE"""),"Genap")</f>
        <v>Genap</v>
      </c>
      <c r="G641" s="5" t="str">
        <f>IFERROR(__xludf.DUMMYFUNCTION("""COMPUTED_VALUE"""),"Manajemen")</f>
        <v>Manajemen</v>
      </c>
      <c r="H641" s="10" t="str">
        <f>IFERROR(__xludf.DUMMYFUNCTION("""COMPUTED_VALUE"""),"Dosen")</f>
        <v>Dosen</v>
      </c>
      <c r="I641" s="6" t="str">
        <f>IFERROR(__xludf.DUMMYFUNCTION("""COMPUTED_VALUE"""),"Atik Lusia")</f>
        <v>Atik Lusia</v>
      </c>
      <c r="J641" s="6" t="str">
        <f>IFERROR(__xludf.DUMMYFUNCTION("""COMPUTED_VALUE"""),"Tri Ratna Pamikatsih")</f>
        <v>Tri Ratna Pamikatsih</v>
      </c>
      <c r="K641" s="6"/>
      <c r="L641" s="6"/>
      <c r="M641" s="6"/>
      <c r="N641" s="6"/>
      <c r="O641" s="6"/>
      <c r="P641" s="10" t="str">
        <f>IFERROR(__xludf.DUMMYFUNCTION("""COMPUTED_VALUE"""),"Atik Lusia,Tri Ratna Pamikatsih,,")</f>
        <v>Atik Lusia,Tri Ratna Pamikatsih,,</v>
      </c>
      <c r="Q641" s="11" t="str">
        <f>IFERROR(__xludf.DUMMYFUNCTION("""COMPUTED_VALUE"""),"https://drive.google.com/file/d/18QXCvgL4w_o4uEC0JwbmCdMXz5WVMMCI/view?usp=sharing")</f>
        <v>https://drive.google.com/file/d/18QXCvgL4w_o4uEC0JwbmCdMXz5WVMMCI/view?usp=sharing</v>
      </c>
      <c r="R641" s="6"/>
    </row>
    <row r="642">
      <c r="A642" s="5">
        <f>IFERROR(__xludf.DUMMYFUNCTION("""COMPUTED_VALUE"""),641.0)</f>
        <v>641</v>
      </c>
      <c r="B642" s="6" t="str">
        <f>IFERROR(__xludf.DUMMYFUNCTION("""COMPUTED_VALUE"""),"Pengaruh Sistem Informasi Akuntansi, Kompetensi Sumber Daya Manusia, dan Komitmen Organisasi terhadap Kualitas Laporan Keuangan Badan Keuangan Daerah Sukoharjo")</f>
        <v>Pengaruh Sistem Informasi Akuntansi, Kompetensi Sumber Daya Manusia, dan Komitmen Organisasi terhadap Kualitas Laporan Keuangan Badan Keuangan Daerah Sukoharjo</v>
      </c>
      <c r="C642" s="7">
        <f>IFERROR(__xludf.DUMMYFUNCTION("""COMPUTED_VALUE"""),2023.0)</f>
        <v>2023</v>
      </c>
      <c r="D642" s="8" t="str">
        <f>IFERROR(__xludf.DUMMYFUNCTION("""COMPUTED_VALUE"""),"2022/2023")</f>
        <v>2022/2023</v>
      </c>
      <c r="E642" s="9">
        <f>IFERROR(__xludf.DUMMYFUNCTION("""COMPUTED_VALUE"""),45153.0)</f>
        <v>45153</v>
      </c>
      <c r="F642" s="5" t="str">
        <f>IFERROR(__xludf.DUMMYFUNCTION("""COMPUTED_VALUE"""),"Genap")</f>
        <v>Genap</v>
      </c>
      <c r="G642" s="5" t="str">
        <f>IFERROR(__xludf.DUMMYFUNCTION("""COMPUTED_VALUE"""),"Akuntansi")</f>
        <v>Akuntansi</v>
      </c>
      <c r="H642" s="10" t="str">
        <f>IFERROR(__xludf.DUMMYFUNCTION("""COMPUTED_VALUE"""),"Mahasiswa")</f>
        <v>Mahasiswa</v>
      </c>
      <c r="I642" s="6" t="str">
        <f>IFERROR(__xludf.DUMMYFUNCTION("""COMPUTED_VALUE"""),"Rezky Rahayu
")</f>
        <v>Rezky Rahayu
</v>
      </c>
      <c r="J642" s="6" t="str">
        <f>IFERROR(__xludf.DUMMYFUNCTION("""COMPUTED_VALUE"""),"Eko Triyanto")</f>
        <v>Eko Triyanto</v>
      </c>
      <c r="K642" s="6"/>
      <c r="L642" s="6"/>
      <c r="M642" s="6"/>
      <c r="N642" s="6"/>
      <c r="O642" s="6"/>
      <c r="P642" s="10" t="str">
        <f>IFERROR(__xludf.DUMMYFUNCTION("""COMPUTED_VALUE"""),"Rezky Rahayu
,Eko Triyanto,,")</f>
        <v>Rezky Rahayu
,Eko Triyanto,,</v>
      </c>
      <c r="Q642" s="11" t="str">
        <f>IFERROR(__xludf.DUMMYFUNCTION("""COMPUTED_VALUE"""),"https://journalshub.org/index.php/jebaku/article/view/1590")</f>
        <v>https://journalshub.org/index.php/jebaku/article/view/1590</v>
      </c>
      <c r="R642" s="6"/>
    </row>
    <row r="643">
      <c r="A643" s="5">
        <f>IFERROR(__xludf.DUMMYFUNCTION("""COMPUTED_VALUE"""),642.0)</f>
        <v>642</v>
      </c>
      <c r="B643" s="6" t="str">
        <f>IFERROR(__xludf.DUMMYFUNCTION("""COMPUTED_VALUE"""),"Faktor – Faktor yang Mempengaruhi Sistem Informasi Akuntansi PT. dan Liris")</f>
        <v>Faktor – Faktor yang Mempengaruhi Sistem Informasi Akuntansi PT. dan Liris</v>
      </c>
      <c r="C643" s="7">
        <f>IFERROR(__xludf.DUMMYFUNCTION("""COMPUTED_VALUE"""),2023.0)</f>
        <v>2023</v>
      </c>
      <c r="D643" s="8" t="str">
        <f>IFERROR(__xludf.DUMMYFUNCTION("""COMPUTED_VALUE"""),"2022/2023")</f>
        <v>2022/2023</v>
      </c>
      <c r="E643" s="9">
        <f>IFERROR(__xludf.DUMMYFUNCTION("""COMPUTED_VALUE"""),45156.0)</f>
        <v>45156</v>
      </c>
      <c r="F643" s="5" t="str">
        <f>IFERROR(__xludf.DUMMYFUNCTION("""COMPUTED_VALUE"""),"Genap")</f>
        <v>Genap</v>
      </c>
      <c r="G643" s="5" t="str">
        <f>IFERROR(__xludf.DUMMYFUNCTION("""COMPUTED_VALUE"""),"Akuntansi")</f>
        <v>Akuntansi</v>
      </c>
      <c r="H643" s="10" t="str">
        <f>IFERROR(__xludf.DUMMYFUNCTION("""COMPUTED_VALUE"""),"Mahasiswa")</f>
        <v>Mahasiswa</v>
      </c>
      <c r="I643" s="6" t="str">
        <f>IFERROR(__xludf.DUMMYFUNCTION("""COMPUTED_VALUE"""),"Diyah Ervitasari")</f>
        <v>Diyah Ervitasari</v>
      </c>
      <c r="J643" s="6" t="str">
        <f>IFERROR(__xludf.DUMMYFUNCTION("""COMPUTED_VALUE"""),"Pardi")</f>
        <v>Pardi</v>
      </c>
      <c r="K643" s="6"/>
      <c r="L643" s="6"/>
      <c r="M643" s="6"/>
      <c r="N643" s="6"/>
      <c r="O643" s="6"/>
      <c r="P643" s="10" t="str">
        <f>IFERROR(__xludf.DUMMYFUNCTION("""COMPUTED_VALUE"""),"Diyah Ervitasari,Pardi,,")</f>
        <v>Diyah Ervitasari,Pardi,,</v>
      </c>
      <c r="Q643" s="11" t="str">
        <f>IFERROR(__xludf.DUMMYFUNCTION("""COMPUTED_VALUE"""),"https://ejournal.goacademica.com/index.php/jk/article/view/715")</f>
        <v>https://ejournal.goacademica.com/index.php/jk/article/view/715</v>
      </c>
      <c r="R643" s="6"/>
    </row>
    <row r="644">
      <c r="A644" s="5">
        <f>IFERROR(__xludf.DUMMYFUNCTION("""COMPUTED_VALUE"""),643.0)</f>
        <v>643</v>
      </c>
      <c r="B644" s="6" t="str">
        <f>IFERROR(__xludf.DUMMYFUNCTION("""COMPUTED_VALUE"""),"Pengaruh Store Atmosphere, Visual Merchandise, Dan Perilaku Hedonism Terhadap Impulse Buying Studi Empiris Customer Gen Z Gerai Miniso Cabang Kota Solo")</f>
        <v>Pengaruh Store Atmosphere, Visual Merchandise, Dan Perilaku Hedonism Terhadap Impulse Buying Studi Empiris Customer Gen Z Gerai Miniso Cabang Kota Solo</v>
      </c>
      <c r="C644" s="7">
        <f>IFERROR(__xludf.DUMMYFUNCTION("""COMPUTED_VALUE"""),2023.0)</f>
        <v>2023</v>
      </c>
      <c r="D644" s="8" t="str">
        <f>IFERROR(__xludf.DUMMYFUNCTION("""COMPUTED_VALUE"""),"2022/2023")</f>
        <v>2022/2023</v>
      </c>
      <c r="E644" s="9">
        <f>IFERROR(__xludf.DUMMYFUNCTION("""COMPUTED_VALUE"""),45159.0)</f>
        <v>45159</v>
      </c>
      <c r="F644" s="5" t="str">
        <f>IFERROR(__xludf.DUMMYFUNCTION("""COMPUTED_VALUE"""),"Genap")</f>
        <v>Genap</v>
      </c>
      <c r="G644" s="5" t="str">
        <f>IFERROR(__xludf.DUMMYFUNCTION("""COMPUTED_VALUE"""),"Manajemen")</f>
        <v>Manajemen</v>
      </c>
      <c r="H644" s="10" t="str">
        <f>IFERROR(__xludf.DUMMYFUNCTION("""COMPUTED_VALUE"""),"Mahasiswa")</f>
        <v>Mahasiswa</v>
      </c>
      <c r="I644" s="6" t="str">
        <f>IFERROR(__xludf.DUMMYFUNCTION("""COMPUTED_VALUE"""),"Novianti Wahyu Saputri")</f>
        <v>Novianti Wahyu Saputri</v>
      </c>
      <c r="J644" s="6" t="str">
        <f>IFERROR(__xludf.DUMMYFUNCTION("""COMPUTED_VALUE"""),"Muhammad Jalari")</f>
        <v>Muhammad Jalari</v>
      </c>
      <c r="K644" s="6"/>
      <c r="L644" s="6"/>
      <c r="M644" s="6"/>
      <c r="N644" s="6"/>
      <c r="O644" s="6"/>
      <c r="P644" s="10" t="str">
        <f>IFERROR(__xludf.DUMMYFUNCTION("""COMPUTED_VALUE"""),"Novianti Wahyu Saputri,Muhammad Jalari,,")</f>
        <v>Novianti Wahyu Saputri,Muhammad Jalari,,</v>
      </c>
      <c r="Q644" s="11" t="str">
        <f>IFERROR(__xludf.DUMMYFUNCTION("""COMPUTED_VALUE"""),"https://jurnal.stie-aas.ac.id/index.php/jie/article/view/9989")</f>
        <v>https://jurnal.stie-aas.ac.id/index.php/jie/article/view/9989</v>
      </c>
      <c r="R644" s="6"/>
    </row>
    <row r="645">
      <c r="A645" s="5">
        <f>IFERROR(__xludf.DUMMYFUNCTION("""COMPUTED_VALUE"""),644.0)</f>
        <v>644</v>
      </c>
      <c r="B645" s="6" t="str">
        <f>IFERROR(__xludf.DUMMYFUNCTION("""COMPUTED_VALUE"""),"PENGARUH LITERASI KEUANGAN, PEMANFAATAN TEKNOLOGI INFORMASI DAN PENGGUNAAN INFORMASI AKUNTANSI TERHADAP KINERJA UMKM DI KECAMATAN TERAS KABUPATEN BOYOLALI")</f>
        <v>PENGARUH LITERASI KEUANGAN, PEMANFAATAN TEKNOLOGI INFORMASI DAN PENGGUNAAN INFORMASI AKUNTANSI TERHADAP KINERJA UMKM DI KECAMATAN TERAS KABUPATEN BOYOLALI</v>
      </c>
      <c r="C645" s="7">
        <f>IFERROR(__xludf.DUMMYFUNCTION("""COMPUTED_VALUE"""),2023.0)</f>
        <v>2023</v>
      </c>
      <c r="D645" s="8" t="str">
        <f>IFERROR(__xludf.DUMMYFUNCTION("""COMPUTED_VALUE"""),"2022/2023")</f>
        <v>2022/2023</v>
      </c>
      <c r="E645" s="9">
        <f>IFERROR(__xludf.DUMMYFUNCTION("""COMPUTED_VALUE"""),45159.0)</f>
        <v>45159</v>
      </c>
      <c r="F645" s="5" t="str">
        <f>IFERROR(__xludf.DUMMYFUNCTION("""COMPUTED_VALUE"""),"Genap")</f>
        <v>Genap</v>
      </c>
      <c r="G645" s="5" t="str">
        <f>IFERROR(__xludf.DUMMYFUNCTION("""COMPUTED_VALUE"""),"Akuntansi")</f>
        <v>Akuntansi</v>
      </c>
      <c r="H645" s="10" t="str">
        <f>IFERROR(__xludf.DUMMYFUNCTION("""COMPUTED_VALUE"""),"Mahasiswa")</f>
        <v>Mahasiswa</v>
      </c>
      <c r="I645" s="6" t="str">
        <f>IFERROR(__xludf.DUMMYFUNCTION("""COMPUTED_VALUE"""),"Nafisa Amalia Afifah")</f>
        <v>Nafisa Amalia Afifah</v>
      </c>
      <c r="J645" s="6" t="str">
        <f>IFERROR(__xludf.DUMMYFUNCTION("""COMPUTED_VALUE"""),"Eko Triyanto")</f>
        <v>Eko Triyanto</v>
      </c>
      <c r="K645" s="6"/>
      <c r="L645" s="6"/>
      <c r="M645" s="6"/>
      <c r="N645" s="6"/>
      <c r="O645" s="6"/>
      <c r="P645" s="10" t="str">
        <f>IFERROR(__xludf.DUMMYFUNCTION("""COMPUTED_VALUE"""),"Nafisa Amalia Afifah,Eko Triyanto,,")</f>
        <v>Nafisa Amalia Afifah,Eko Triyanto,,</v>
      </c>
      <c r="Q645" s="11" t="str">
        <f>IFERROR(__xludf.DUMMYFUNCTION("""COMPUTED_VALUE"""),"https://jurnal.alimspublishing.co.id/index.php/jis/article/view/322/269")</f>
        <v>https://jurnal.alimspublishing.co.id/index.php/jis/article/view/322/269</v>
      </c>
      <c r="R645" s="6"/>
    </row>
    <row r="646">
      <c r="A646" s="5">
        <f>IFERROR(__xludf.DUMMYFUNCTION("""COMPUTED_VALUE"""),645.0)</f>
        <v>645</v>
      </c>
      <c r="B646" s="6" t="str">
        <f>IFERROR(__xludf.DUMMYFUNCTION("""COMPUTED_VALUE"""),"Pengaruh Pengetahuan Investasi, Motivasi dan Toleransi Risiko terhadap Keputusan Investasi Mahasiswa STIE Surakarta")</f>
        <v>Pengaruh Pengetahuan Investasi, Motivasi dan Toleransi Risiko terhadap Keputusan Investasi Mahasiswa STIE Surakarta</v>
      </c>
      <c r="C646" s="7">
        <f>IFERROR(__xludf.DUMMYFUNCTION("""COMPUTED_VALUE"""),2023.0)</f>
        <v>2023</v>
      </c>
      <c r="D646" s="8" t="str">
        <f>IFERROR(__xludf.DUMMYFUNCTION("""COMPUTED_VALUE"""),"2022/2023")</f>
        <v>2022/2023</v>
      </c>
      <c r="E646" s="9">
        <f>IFERROR(__xludf.DUMMYFUNCTION("""COMPUTED_VALUE"""),45160.0)</f>
        <v>45160</v>
      </c>
      <c r="F646" s="5" t="str">
        <f>IFERROR(__xludf.DUMMYFUNCTION("""COMPUTED_VALUE"""),"Genap")</f>
        <v>Genap</v>
      </c>
      <c r="G646" s="5" t="str">
        <f>IFERROR(__xludf.DUMMYFUNCTION("""COMPUTED_VALUE"""),"Manajemen")</f>
        <v>Manajemen</v>
      </c>
      <c r="H646" s="10" t="str">
        <f>IFERROR(__xludf.DUMMYFUNCTION("""COMPUTED_VALUE"""),"Mahasiswa")</f>
        <v>Mahasiswa</v>
      </c>
      <c r="I646" s="6" t="str">
        <f>IFERROR(__xludf.DUMMYFUNCTION("""COMPUTED_VALUE"""),"Kukuh Setyawati")</f>
        <v>Kukuh Setyawati</v>
      </c>
      <c r="J646" s="6" t="str">
        <f>IFERROR(__xludf.DUMMYFUNCTION("""COMPUTED_VALUE"""),"Heny Kurnianingsih")</f>
        <v>Heny Kurnianingsih</v>
      </c>
      <c r="K646" s="6"/>
      <c r="L646" s="6"/>
      <c r="M646" s="6"/>
      <c r="N646" s="6"/>
      <c r="O646" s="6"/>
      <c r="P646" s="10" t="str">
        <f>IFERROR(__xludf.DUMMYFUNCTION("""COMPUTED_VALUE"""),"Kukuh Setyawati,Heny Kurnianingsih,,")</f>
        <v>Kukuh Setyawati,Heny Kurnianingsih,,</v>
      </c>
      <c r="Q646" s="11" t="str">
        <f>IFERROR(__xludf.DUMMYFUNCTION("""COMPUTED_VALUE"""),"https://www.researchgate.net/publication/378594532_PENGARUH_PENGETAHUAN_INVESTASI_MODAL_AWAL_INVESTASI_DAN_SOSIAL_MEDIA_INFLUENCER_TERHADAP_MINAT_BERINVESTASI_MAHASISWA_DI_PASAR_MODAL_STUDI_EMPIRIS_PADA_SEKOLAH_TINGGI_ILMU_EKONOMI_SURAKARTA/fulltext/65e13"&amp;"50ec3b52a117001d51b/PENGARUH-PENGETAHUAN-INVESTASI-MODAL-AWAL-INVESTASI-DAN-SOSIAL-MEDIA-INFLUENCER-TERHADAP-MINAT-BERINVESTASI-MAHASISWA-DI-PASAR-MODAL-STUDI-EMPIRIS-PADA-SEKOLAH-TINGGI-ILMU-EKONOMI-SURAKARTA.pdf")</f>
        <v>https://www.researchgate.net/publication/378594532_PENGARUH_PENGETAHUAN_INVESTASI_MODAL_AWAL_INVESTASI_DAN_SOSIAL_MEDIA_INFLUENCER_TERHADAP_MINAT_BERINVESTASI_MAHASISWA_DI_PASAR_MODAL_STUDI_EMPIRIS_PADA_SEKOLAH_TINGGI_ILMU_EKONOMI_SURAKARTA/fulltext/65e1350ec3b52a117001d51b/PENGARUH-PENGETAHUAN-INVESTASI-MODAL-AWAL-INVESTASI-DAN-SOSIAL-MEDIA-INFLUENCER-TERHADAP-MINAT-BERINVESTASI-MAHASISWA-DI-PASAR-MODAL-STUDI-EMPIRIS-PADA-SEKOLAH-TINGGI-ILMU-EKONOMI-SURAKARTA.pdf</v>
      </c>
      <c r="R646" s="6"/>
    </row>
    <row r="647">
      <c r="A647" s="5">
        <f>IFERROR(__xludf.DUMMYFUNCTION("""COMPUTED_VALUE"""),646.0)</f>
        <v>646</v>
      </c>
      <c r="B647" s="6" t="str">
        <f>IFERROR(__xludf.DUMMYFUNCTION("""COMPUTED_VALUE"""),"FAKTOR-FAKTOR YANG MEMPENGARUHI PANDAPATAN UMKM PRODUSEN SUSU SAPI DI BOYOLALI")</f>
        <v>FAKTOR-FAKTOR YANG MEMPENGARUHI PANDAPATAN UMKM PRODUSEN SUSU SAPI DI BOYOLALI</v>
      </c>
      <c r="C647" s="7">
        <f>IFERROR(__xludf.DUMMYFUNCTION("""COMPUTED_VALUE"""),2023.0)</f>
        <v>2023</v>
      </c>
      <c r="D647" s="8" t="str">
        <f>IFERROR(__xludf.DUMMYFUNCTION("""COMPUTED_VALUE"""),"2022/2023")</f>
        <v>2022/2023</v>
      </c>
      <c r="E647" s="9">
        <f>IFERROR(__xludf.DUMMYFUNCTION("""COMPUTED_VALUE"""),45160.0)</f>
        <v>45160</v>
      </c>
      <c r="F647" s="5" t="str">
        <f>IFERROR(__xludf.DUMMYFUNCTION("""COMPUTED_VALUE"""),"Genap")</f>
        <v>Genap</v>
      </c>
      <c r="G647" s="5" t="str">
        <f>IFERROR(__xludf.DUMMYFUNCTION("""COMPUTED_VALUE"""),"Akuntansi")</f>
        <v>Akuntansi</v>
      </c>
      <c r="H647" s="10" t="str">
        <f>IFERROR(__xludf.DUMMYFUNCTION("""COMPUTED_VALUE"""),"Mahasiswa")</f>
        <v>Mahasiswa</v>
      </c>
      <c r="I647" s="6" t="str">
        <f>IFERROR(__xludf.DUMMYFUNCTION("""COMPUTED_VALUE"""),"Lilis Mulyaningrum")</f>
        <v>Lilis Mulyaningrum</v>
      </c>
      <c r="J647" s="6" t="str">
        <f>IFERROR(__xludf.DUMMYFUNCTION("""COMPUTED_VALUE"""),"Astuning Saharsini")</f>
        <v>Astuning Saharsini</v>
      </c>
      <c r="K647" s="6"/>
      <c r="L647" s="6"/>
      <c r="M647" s="6"/>
      <c r="N647" s="6"/>
      <c r="O647" s="6"/>
      <c r="P647" s="10" t="str">
        <f>IFERROR(__xludf.DUMMYFUNCTION("""COMPUTED_VALUE"""),"Lilis Mulyaningrum,Astuning Saharsini,,")</f>
        <v>Lilis Mulyaningrum,Astuning Saharsini,,</v>
      </c>
      <c r="Q647" s="11" t="str">
        <f>IFERROR(__xludf.DUMMYFUNCTION("""COMPUTED_VALUE"""),"https://www.researchgate.net/publication/378594529_FAKTOR-FAKTOR_YANG_MEMPENGARUHI_PENDAPATAN_UMKM_PRODUSEN_SUSU_SAPI_DI_BOYOLALI")</f>
        <v>https://www.researchgate.net/publication/378594529_FAKTOR-FAKTOR_YANG_MEMPENGARUHI_PENDAPATAN_UMKM_PRODUSEN_SUSU_SAPI_DI_BOYOLALI</v>
      </c>
      <c r="R647" s="6"/>
    </row>
    <row r="648">
      <c r="A648" s="5">
        <f>IFERROR(__xludf.DUMMYFUNCTION("""COMPUTED_VALUE"""),647.0)</f>
        <v>647</v>
      </c>
      <c r="B648" s="6" t="str">
        <f>IFERROR(__xludf.DUMMYFUNCTION("""COMPUTED_VALUE"""),"Pelatihan Pembukuan Untuk Pelaku Umkm (Studi Kasus Pada UMKM Batik Melati Wijaya)")</f>
        <v>Pelatihan Pembukuan Untuk Pelaku Umkm (Studi Kasus Pada UMKM Batik Melati Wijaya)</v>
      </c>
      <c r="C648" s="7">
        <f>IFERROR(__xludf.DUMMYFUNCTION("""COMPUTED_VALUE"""),2023.0)</f>
        <v>2023</v>
      </c>
      <c r="D648" s="8" t="str">
        <f>IFERROR(__xludf.DUMMYFUNCTION("""COMPUTED_VALUE"""),"2022/2023")</f>
        <v>2022/2023</v>
      </c>
      <c r="E648" s="9">
        <f>IFERROR(__xludf.DUMMYFUNCTION("""COMPUTED_VALUE"""),45161.0)</f>
        <v>45161</v>
      </c>
      <c r="F648" s="5" t="str">
        <f>IFERROR(__xludf.DUMMYFUNCTION("""COMPUTED_VALUE"""),"Genap")</f>
        <v>Genap</v>
      </c>
      <c r="G648" s="5" t="str">
        <f>IFERROR(__xludf.DUMMYFUNCTION("""COMPUTED_VALUE"""),"Akuntansi")</f>
        <v>Akuntansi</v>
      </c>
      <c r="H648" s="10" t="str">
        <f>IFERROR(__xludf.DUMMYFUNCTION("""COMPUTED_VALUE"""),"Dosen")</f>
        <v>Dosen</v>
      </c>
      <c r="I648" s="6" t="str">
        <f>IFERROR(__xludf.DUMMYFUNCTION("""COMPUTED_VALUE"""),"Arif Farida")</f>
        <v>Arif Farida</v>
      </c>
      <c r="J648" s="6" t="str">
        <f>IFERROR(__xludf.DUMMYFUNCTION("""COMPUTED_VALUE"""),"Dewi Ika Octavia")</f>
        <v>Dewi Ika Octavia</v>
      </c>
      <c r="K648" s="6" t="str">
        <f>IFERROR(__xludf.DUMMYFUNCTION("""COMPUTED_VALUE"""),"Lisna Okvionita")</f>
        <v>Lisna Okvionita</v>
      </c>
      <c r="L648" s="6" t="str">
        <f>IFERROR(__xludf.DUMMYFUNCTION("""COMPUTED_VALUE"""),"Divandra Putri Etaprisastia")</f>
        <v>Divandra Putri Etaprisastia</v>
      </c>
      <c r="M648" s="6"/>
      <c r="N648" s="6"/>
      <c r="O648" s="6"/>
      <c r="P648" s="10" t="str">
        <f>IFERROR(__xludf.DUMMYFUNCTION("""COMPUTED_VALUE"""),"Arif Farida,Dewi Ika Octavia,Lisna Okvionita,Divandra Putri Etaprisastia")</f>
        <v>Arif Farida,Dewi Ika Octavia,Lisna Okvionita,Divandra Putri Etaprisastia</v>
      </c>
      <c r="Q648" s="11" t="str">
        <f>IFERROR(__xludf.DUMMYFUNCTION("""COMPUTED_VALUE"""),"https://drive.google.com/file/d/1VXF5oS3sDvJ_POfACqZ3emHYKzA4dEhI/view?usp=sharing")</f>
        <v>https://drive.google.com/file/d/1VXF5oS3sDvJ_POfACqZ3emHYKzA4dEhI/view?usp=sharing</v>
      </c>
      <c r="R648" s="11" t="str">
        <f>IFERROR(__xludf.DUMMYFUNCTION("""COMPUTED_VALUE"""),"https://jurnalpengabdian.stiesurakarta.ac.id/index.php/Dms/article/view/31")</f>
        <v>https://jurnalpengabdian.stiesurakarta.ac.id/index.php/Dms/article/view/31</v>
      </c>
    </row>
    <row r="649">
      <c r="A649" s="5">
        <f>IFERROR(__xludf.DUMMYFUNCTION("""COMPUTED_VALUE"""),648.0)</f>
        <v>648</v>
      </c>
      <c r="B649" s="6" t="str">
        <f>IFERROR(__xludf.DUMMYFUNCTION("""COMPUTED_VALUE"""),"FAKTOR- FAKTOR YANG MEMPENGARUHI KINERJA SISTEM INFORMASI AKUNTANSI PADA RS. PANTI WALUYO SURAKARTA")</f>
        <v>FAKTOR- FAKTOR YANG MEMPENGARUHI KINERJA SISTEM INFORMASI AKUNTANSI PADA RS. PANTI WALUYO SURAKARTA</v>
      </c>
      <c r="C649" s="7">
        <f>IFERROR(__xludf.DUMMYFUNCTION("""COMPUTED_VALUE"""),2023.0)</f>
        <v>2023</v>
      </c>
      <c r="D649" s="8" t="str">
        <f>IFERROR(__xludf.DUMMYFUNCTION("""COMPUTED_VALUE"""),"2022/2023")</f>
        <v>2022/2023</v>
      </c>
      <c r="E649" s="9">
        <f>IFERROR(__xludf.DUMMYFUNCTION("""COMPUTED_VALUE"""),45162.0)</f>
        <v>45162</v>
      </c>
      <c r="F649" s="5" t="str">
        <f>IFERROR(__xludf.DUMMYFUNCTION("""COMPUTED_VALUE"""),"Genap")</f>
        <v>Genap</v>
      </c>
      <c r="G649" s="5" t="str">
        <f>IFERROR(__xludf.DUMMYFUNCTION("""COMPUTED_VALUE"""),"Akuntansi")</f>
        <v>Akuntansi</v>
      </c>
      <c r="H649" s="10" t="str">
        <f>IFERROR(__xludf.DUMMYFUNCTION("""COMPUTED_VALUE"""),"Mahasiswa")</f>
        <v>Mahasiswa</v>
      </c>
      <c r="I649" s="6" t="str">
        <f>IFERROR(__xludf.DUMMYFUNCTION("""COMPUTED_VALUE"""),"Enggi Silvia Tiarawati")</f>
        <v>Enggi Silvia Tiarawati</v>
      </c>
      <c r="J649" s="6" t="str">
        <f>IFERROR(__xludf.DUMMYFUNCTION("""COMPUTED_VALUE"""),"Ismunawan")</f>
        <v>Ismunawan</v>
      </c>
      <c r="K649" s="6"/>
      <c r="L649" s="6"/>
      <c r="M649" s="6"/>
      <c r="N649" s="6"/>
      <c r="O649" s="6"/>
      <c r="P649" s="10" t="str">
        <f>IFERROR(__xludf.DUMMYFUNCTION("""COMPUTED_VALUE"""),"Enggi Silvia Tiarawati,Ismunawan,,")</f>
        <v>Enggi Silvia Tiarawati,Ismunawan,,</v>
      </c>
      <c r="Q649" s="11" t="str">
        <f>IFERROR(__xludf.DUMMYFUNCTION("""COMPUTED_VALUE"""),"https://bajangjournal.com/index.php/JCI/article/view/6385")</f>
        <v>https://bajangjournal.com/index.php/JCI/article/view/6385</v>
      </c>
      <c r="R649" s="6"/>
    </row>
    <row r="650">
      <c r="A650" s="5">
        <f>IFERROR(__xludf.DUMMYFUNCTION("""COMPUTED_VALUE"""),649.0)</f>
        <v>649</v>
      </c>
      <c r="B650" s="6" t="str">
        <f>IFERROR(__xludf.DUMMYFUNCTION("""COMPUTED_VALUE"""),"Pengaruh Pelatihan Profesional, Pengakuan Profesional, Pertimbangan Pasar Kerja dan Gender Dalam Pemilihan Karir Sebagai Auditor")</f>
        <v>Pengaruh Pelatihan Profesional, Pengakuan Profesional, Pertimbangan Pasar Kerja dan Gender Dalam Pemilihan Karir Sebagai Auditor</v>
      </c>
      <c r="C650" s="7">
        <f>IFERROR(__xludf.DUMMYFUNCTION("""COMPUTED_VALUE"""),2023.0)</f>
        <v>2023</v>
      </c>
      <c r="D650" s="8" t="str">
        <f>IFERROR(__xludf.DUMMYFUNCTION("""COMPUTED_VALUE"""),"2022/2023")</f>
        <v>2022/2023</v>
      </c>
      <c r="E650" s="9">
        <f>IFERROR(__xludf.DUMMYFUNCTION("""COMPUTED_VALUE"""),45163.0)</f>
        <v>45163</v>
      </c>
      <c r="F650" s="5" t="str">
        <f>IFERROR(__xludf.DUMMYFUNCTION("""COMPUTED_VALUE"""),"Genap")</f>
        <v>Genap</v>
      </c>
      <c r="G650" s="5" t="str">
        <f>IFERROR(__xludf.DUMMYFUNCTION("""COMPUTED_VALUE"""),"Akuntansi")</f>
        <v>Akuntansi</v>
      </c>
      <c r="H650" s="10" t="str">
        <f>IFERROR(__xludf.DUMMYFUNCTION("""COMPUTED_VALUE"""),"Mahasiswa")</f>
        <v>Mahasiswa</v>
      </c>
      <c r="I650" s="6" t="str">
        <f>IFERROR(__xludf.DUMMYFUNCTION("""COMPUTED_VALUE"""),"Caecilia Dian Anggraini")</f>
        <v>Caecilia Dian Anggraini</v>
      </c>
      <c r="J650" s="6" t="str">
        <f>IFERROR(__xludf.DUMMYFUNCTION("""COMPUTED_VALUE"""),"Nur Kholis")</f>
        <v>Nur Kholis</v>
      </c>
      <c r="K650" s="6"/>
      <c r="L650" s="6"/>
      <c r="M650" s="6"/>
      <c r="N650" s="6"/>
      <c r="O650" s="6"/>
      <c r="P650" s="10" t="str">
        <f>IFERROR(__xludf.DUMMYFUNCTION("""COMPUTED_VALUE"""),"Caecilia Dian Anggraini,Nur Kholis,,")</f>
        <v>Caecilia Dian Anggraini,Nur Kholis,,</v>
      </c>
      <c r="Q650" s="11" t="str">
        <f>IFERROR(__xludf.DUMMYFUNCTION("""COMPUTED_VALUE"""),"https://journal.uniku.ac.id/index.php/jrka/article/view/8749")</f>
        <v>https://journal.uniku.ac.id/index.php/jrka/article/view/8749</v>
      </c>
      <c r="R650" s="6"/>
    </row>
    <row r="651">
      <c r="A651" s="5">
        <f>IFERROR(__xludf.DUMMYFUNCTION("""COMPUTED_VALUE"""),650.0)</f>
        <v>650</v>
      </c>
      <c r="B651" s="6" t="str">
        <f>IFERROR(__xludf.DUMMYFUNCTION("""COMPUTED_VALUE"""),"Pengaruh Literasi Keuangan, Tingkat Pendapatan, dan Gaya Hidup Terhadap Minat Menabung Mahasiswa di Kota Surakarta")</f>
        <v>Pengaruh Literasi Keuangan, Tingkat Pendapatan, dan Gaya Hidup Terhadap Minat Menabung Mahasiswa di Kota Surakarta</v>
      </c>
      <c r="C651" s="7">
        <f>IFERROR(__xludf.DUMMYFUNCTION("""COMPUTED_VALUE"""),2023.0)</f>
        <v>2023</v>
      </c>
      <c r="D651" s="8" t="str">
        <f>IFERROR(__xludf.DUMMYFUNCTION("""COMPUTED_VALUE"""),"2022/2023")</f>
        <v>2022/2023</v>
      </c>
      <c r="E651" s="9">
        <f>IFERROR(__xludf.DUMMYFUNCTION("""COMPUTED_VALUE"""),45165.0)</f>
        <v>45165</v>
      </c>
      <c r="F651" s="5" t="str">
        <f>IFERROR(__xludf.DUMMYFUNCTION("""COMPUTED_VALUE"""),"Genap")</f>
        <v>Genap</v>
      </c>
      <c r="G651" s="5" t="str">
        <f>IFERROR(__xludf.DUMMYFUNCTION("""COMPUTED_VALUE"""),"Manajemen")</f>
        <v>Manajemen</v>
      </c>
      <c r="H651" s="10" t="str">
        <f>IFERROR(__xludf.DUMMYFUNCTION("""COMPUTED_VALUE"""),"Mahasiswa")</f>
        <v>Mahasiswa</v>
      </c>
      <c r="I651" s="6" t="str">
        <f>IFERROR(__xludf.DUMMYFUNCTION("""COMPUTED_VALUE"""),"Bella Erviana Prihatiningsih")</f>
        <v>Bella Erviana Prihatiningsih</v>
      </c>
      <c r="J651" s="6" t="str">
        <f>IFERROR(__xludf.DUMMYFUNCTION("""COMPUTED_VALUE"""),"Ari Susanti")</f>
        <v>Ari Susanti</v>
      </c>
      <c r="K651" s="6"/>
      <c r="L651" s="6"/>
      <c r="M651" s="6"/>
      <c r="N651" s="6"/>
      <c r="O651" s="6"/>
      <c r="P651" s="10" t="str">
        <f>IFERROR(__xludf.DUMMYFUNCTION("""COMPUTED_VALUE"""),"Bella Erviana Prihatiningsih,Ari Susanti,,")</f>
        <v>Bella Erviana Prihatiningsih,Ari Susanti,,</v>
      </c>
      <c r="Q651" s="11" t="str">
        <f>IFERROR(__xludf.DUMMYFUNCTION("""COMPUTED_VALUE"""),"https://jurnal.anfa.co.id/index.php/mufakat/article/view/1021")</f>
        <v>https://jurnal.anfa.co.id/index.php/mufakat/article/view/1021</v>
      </c>
      <c r="R651" s="6"/>
    </row>
    <row r="652">
      <c r="A652" s="5">
        <f>IFERROR(__xludf.DUMMYFUNCTION("""COMPUTED_VALUE"""),651.0)</f>
        <v>651</v>
      </c>
      <c r="B652" s="6" t="str">
        <f>IFERROR(__xludf.DUMMYFUNCTION("""COMPUTED_VALUE"""),"Faktor-Faktor Yang Mempengaruhi Pendapatan Umkm Produsen Susu Sapi Di Boyolali")</f>
        <v>Faktor-Faktor Yang Mempengaruhi Pendapatan Umkm Produsen Susu Sapi Di Boyolali</v>
      </c>
      <c r="C652" s="7">
        <f>IFERROR(__xludf.DUMMYFUNCTION("""COMPUTED_VALUE"""),2023.0)</f>
        <v>2023</v>
      </c>
      <c r="D652" s="8" t="str">
        <f>IFERROR(__xludf.DUMMYFUNCTION("""COMPUTED_VALUE"""),"2022/2023")</f>
        <v>2022/2023</v>
      </c>
      <c r="E652" s="9">
        <f>IFERROR(__xludf.DUMMYFUNCTION("""COMPUTED_VALUE"""),45165.0)</f>
        <v>45165</v>
      </c>
      <c r="F652" s="5" t="str">
        <f>IFERROR(__xludf.DUMMYFUNCTION("""COMPUTED_VALUE"""),"Genap")</f>
        <v>Genap</v>
      </c>
      <c r="G652" s="5" t="str">
        <f>IFERROR(__xludf.DUMMYFUNCTION("""COMPUTED_VALUE"""),"Akuntansi")</f>
        <v>Akuntansi</v>
      </c>
      <c r="H652" s="10" t="str">
        <f>IFERROR(__xludf.DUMMYFUNCTION("""COMPUTED_VALUE"""),"Mahasiswa")</f>
        <v>Mahasiswa</v>
      </c>
      <c r="I652" s="6" t="str">
        <f>IFERROR(__xludf.DUMMYFUNCTION("""COMPUTED_VALUE"""),"Lilis Mulyaningrum")</f>
        <v>Lilis Mulyaningrum</v>
      </c>
      <c r="J652" s="6" t="str">
        <f>IFERROR(__xludf.DUMMYFUNCTION("""COMPUTED_VALUE"""),"Astuning Saharsini")</f>
        <v>Astuning Saharsini</v>
      </c>
      <c r="K652" s="6"/>
      <c r="L652" s="6"/>
      <c r="M652" s="6"/>
      <c r="N652" s="6"/>
      <c r="O652" s="6"/>
      <c r="P652" s="10" t="str">
        <f>IFERROR(__xludf.DUMMYFUNCTION("""COMPUTED_VALUE"""),"Lilis Mulyaningrum,Astuning Saharsini,,")</f>
        <v>Lilis Mulyaningrum,Astuning Saharsini,,</v>
      </c>
      <c r="Q652" s="11" t="str">
        <f>IFERROR(__xludf.DUMMYFUNCTION("""COMPUTED_VALUE"""),"https://journalshub.org/index.php/jebaku/article/view/2031")</f>
        <v>https://journalshub.org/index.php/jebaku/article/view/2031</v>
      </c>
      <c r="R652" s="6"/>
    </row>
    <row r="653">
      <c r="A653" s="5">
        <f>IFERROR(__xludf.DUMMYFUNCTION("""COMPUTED_VALUE"""),652.0)</f>
        <v>652</v>
      </c>
      <c r="B653" s="6" t="str">
        <f>IFERROR(__xludf.DUMMYFUNCTION("""COMPUTED_VALUE"""),"Prospek Ekonomi Syariah Melalui Penguatan KSPPS BMT")</f>
        <v>Prospek Ekonomi Syariah Melalui Penguatan KSPPS BMT</v>
      </c>
      <c r="C653" s="7">
        <f>IFERROR(__xludf.DUMMYFUNCTION("""COMPUTED_VALUE"""),2023.0)</f>
        <v>2023</v>
      </c>
      <c r="D653" s="8" t="str">
        <f>IFERROR(__xludf.DUMMYFUNCTION("""COMPUTED_VALUE"""),"2022/2023")</f>
        <v>2022/2023</v>
      </c>
      <c r="E653" s="9">
        <f>IFERROR(__xludf.DUMMYFUNCTION("""COMPUTED_VALUE"""),45167.0)</f>
        <v>45167</v>
      </c>
      <c r="F653" s="5" t="str">
        <f>IFERROR(__xludf.DUMMYFUNCTION("""COMPUTED_VALUE"""),"Genap")</f>
        <v>Genap</v>
      </c>
      <c r="G653" s="5" t="str">
        <f>IFERROR(__xludf.DUMMYFUNCTION("""COMPUTED_VALUE"""),"Manajemen")</f>
        <v>Manajemen</v>
      </c>
      <c r="H653" s="10" t="str">
        <f>IFERROR(__xludf.DUMMYFUNCTION("""COMPUTED_VALUE"""),"Dosen")</f>
        <v>Dosen</v>
      </c>
      <c r="I653" s="6" t="str">
        <f>IFERROR(__xludf.DUMMYFUNCTION("""COMPUTED_VALUE"""),"Muhammad Jalari")</f>
        <v>Muhammad Jalari</v>
      </c>
      <c r="J653" s="6" t="str">
        <f>IFERROR(__xludf.DUMMYFUNCTION("""COMPUTED_VALUE"""),"Christiawan Hendratmoko")</f>
        <v>Christiawan Hendratmoko</v>
      </c>
      <c r="K653" s="6" t="str">
        <f>IFERROR(__xludf.DUMMYFUNCTION("""COMPUTED_VALUE"""),"Arif Nugroho Rachman")</f>
        <v>Arif Nugroho Rachman</v>
      </c>
      <c r="L653" s="6"/>
      <c r="M653" s="6"/>
      <c r="N653" s="6"/>
      <c r="O653" s="6"/>
      <c r="P653" s="10" t="str">
        <f>IFERROR(__xludf.DUMMYFUNCTION("""COMPUTED_VALUE"""),"Muhammad Jalari,Christiawan Hendratmoko,Arif Nugroho Rachman,")</f>
        <v>Muhammad Jalari,Christiawan Hendratmoko,Arif Nugroho Rachman,</v>
      </c>
      <c r="Q653" s="11" t="str">
        <f>IFERROR(__xludf.DUMMYFUNCTION("""COMPUTED_VALUE"""),"https://drive.google.com/file/d/1L1Pk8bKiOWHvJR97SYQ0RpB_xGOY9_wZ/view?usp=sharing")</f>
        <v>https://drive.google.com/file/d/1L1Pk8bKiOWHvJR97SYQ0RpB_xGOY9_wZ/view?usp=sharing</v>
      </c>
      <c r="R653" s="6"/>
    </row>
    <row r="654">
      <c r="A654" s="5">
        <f>IFERROR(__xludf.DUMMYFUNCTION("""COMPUTED_VALUE"""),653.0)</f>
        <v>653</v>
      </c>
      <c r="B654" s="6" t="str">
        <f>IFERROR(__xludf.DUMMYFUNCTION("""COMPUTED_VALUE"""),"The Influence Of Product Design, A Feature And The Quality Specifications To Buy An Iphone Mini Interest")</f>
        <v>The Influence Of Product Design, A Feature And The Quality Specifications To Buy An Iphone Mini Interest</v>
      </c>
      <c r="C654" s="7">
        <f>IFERROR(__xludf.DUMMYFUNCTION("""COMPUTED_VALUE"""),2023.0)</f>
        <v>2023</v>
      </c>
      <c r="D654" s="8" t="str">
        <f>IFERROR(__xludf.DUMMYFUNCTION("""COMPUTED_VALUE"""),"2022/2023")</f>
        <v>2022/2023</v>
      </c>
      <c r="E654" s="9">
        <f>IFERROR(__xludf.DUMMYFUNCTION("""COMPUTED_VALUE"""),45167.0)</f>
        <v>45167</v>
      </c>
      <c r="F654" s="5" t="str">
        <f>IFERROR(__xludf.DUMMYFUNCTION("""COMPUTED_VALUE"""),"Genap")</f>
        <v>Genap</v>
      </c>
      <c r="G654" s="5" t="str">
        <f>IFERROR(__xludf.DUMMYFUNCTION("""COMPUTED_VALUE"""),"Manajemen")</f>
        <v>Manajemen</v>
      </c>
      <c r="H654" s="10" t="str">
        <f>IFERROR(__xludf.DUMMYFUNCTION("""COMPUTED_VALUE"""),"Mahasiswa")</f>
        <v>Mahasiswa</v>
      </c>
      <c r="I654" s="6" t="str">
        <f>IFERROR(__xludf.DUMMYFUNCTION("""COMPUTED_VALUE"""),"Anandayu Octaviani")</f>
        <v>Anandayu Octaviani</v>
      </c>
      <c r="J654" s="6" t="str">
        <f>IFERROR(__xludf.DUMMYFUNCTION("""COMPUTED_VALUE"""),"Ginanjar Rahmawan")</f>
        <v>Ginanjar Rahmawan</v>
      </c>
      <c r="K654" s="6"/>
      <c r="L654" s="6"/>
      <c r="M654" s="6"/>
      <c r="N654" s="6"/>
      <c r="O654" s="6"/>
      <c r="P654" s="10" t="str">
        <f>IFERROR(__xludf.DUMMYFUNCTION("""COMPUTED_VALUE"""),"Anandayu Octaviani,Ginanjar Rahmawan,,")</f>
        <v>Anandayu Octaviani,Ginanjar Rahmawan,,</v>
      </c>
      <c r="Q654" s="11" t="str">
        <f>IFERROR(__xludf.DUMMYFUNCTION("""COMPUTED_VALUE"""),"https://ejournal.uika-bogor.ac.id/index.php/INOVATOR/article/view/17627")</f>
        <v>https://ejournal.uika-bogor.ac.id/index.php/INOVATOR/article/view/17627</v>
      </c>
      <c r="R654" s="6"/>
    </row>
    <row r="655">
      <c r="A655" s="5">
        <f>IFERROR(__xludf.DUMMYFUNCTION("""COMPUTED_VALUE"""),654.0)</f>
        <v>654</v>
      </c>
      <c r="B655" s="6" t="str">
        <f>IFERROR(__xludf.DUMMYFUNCTION("""COMPUTED_VALUE"""),"FAKTOR-FAKTOR YANG MEMPENGARUHI HARGA SAHAM PERUSAHAAN TEKSTIL DI BEI TAHUN 2019 - 2021")</f>
        <v>FAKTOR-FAKTOR YANG MEMPENGARUHI HARGA SAHAM PERUSAHAAN TEKSTIL DI BEI TAHUN 2019 - 2021</v>
      </c>
      <c r="C655" s="7">
        <f>IFERROR(__xludf.DUMMYFUNCTION("""COMPUTED_VALUE"""),2023.0)</f>
        <v>2023</v>
      </c>
      <c r="D655" s="8" t="str">
        <f>IFERROR(__xludf.DUMMYFUNCTION("""COMPUTED_VALUE"""),"2022/2023")</f>
        <v>2022/2023</v>
      </c>
      <c r="E655" s="9">
        <f>IFERROR(__xludf.DUMMYFUNCTION("""COMPUTED_VALUE"""),45167.0)</f>
        <v>45167</v>
      </c>
      <c r="F655" s="5" t="str">
        <f>IFERROR(__xludf.DUMMYFUNCTION("""COMPUTED_VALUE"""),"Genap")</f>
        <v>Genap</v>
      </c>
      <c r="G655" s="5" t="str">
        <f>IFERROR(__xludf.DUMMYFUNCTION("""COMPUTED_VALUE"""),"Akuntansi")</f>
        <v>Akuntansi</v>
      </c>
      <c r="H655" s="10" t="str">
        <f>IFERROR(__xludf.DUMMYFUNCTION("""COMPUTED_VALUE"""),"Mahasiswa")</f>
        <v>Mahasiswa</v>
      </c>
      <c r="I655" s="6" t="str">
        <f>IFERROR(__xludf.DUMMYFUNCTION("""COMPUTED_VALUE"""),"Adinda Febryana")</f>
        <v>Adinda Febryana</v>
      </c>
      <c r="J655" s="6" t="str">
        <f>IFERROR(__xludf.DUMMYFUNCTION("""COMPUTED_VALUE"""),"Arif Nugroho Rachman")</f>
        <v>Arif Nugroho Rachman</v>
      </c>
      <c r="K655" s="6"/>
      <c r="L655" s="6"/>
      <c r="M655" s="6"/>
      <c r="N655" s="6"/>
      <c r="O655" s="6"/>
      <c r="P655" s="10" t="str">
        <f>IFERROR(__xludf.DUMMYFUNCTION("""COMPUTED_VALUE"""),"Adinda Febryana,Arif Nugroho Rachman,,")</f>
        <v>Adinda Febryana,Arif Nugroho Rachman,,</v>
      </c>
      <c r="Q655" s="11" t="str">
        <f>IFERROR(__xludf.DUMMYFUNCTION("""COMPUTED_VALUE"""),"https://jmi.rivierapublishing.id/index.php/rp/article/view/436")</f>
        <v>https://jmi.rivierapublishing.id/index.php/rp/article/view/436</v>
      </c>
      <c r="R655" s="6"/>
    </row>
    <row r="656">
      <c r="A656" s="5">
        <f>IFERROR(__xludf.DUMMYFUNCTION("""COMPUTED_VALUE"""),655.0)</f>
        <v>655</v>
      </c>
      <c r="B656" s="6" t="str">
        <f>IFERROR(__xludf.DUMMYFUNCTION("""COMPUTED_VALUE"""),"ANALISIS LAPORAN REALISASI ANGGARAN UNTUK MENILAI KINERJA KEUANGAN PADA KANTOR KABUPATEN KLATEN")</f>
        <v>ANALISIS LAPORAN REALISASI ANGGARAN UNTUK MENILAI KINERJA KEUANGAN PADA KANTOR KABUPATEN KLATEN</v>
      </c>
      <c r="C656" s="7">
        <f>IFERROR(__xludf.DUMMYFUNCTION("""COMPUTED_VALUE"""),2023.0)</f>
        <v>2023</v>
      </c>
      <c r="D656" s="8" t="str">
        <f>IFERROR(__xludf.DUMMYFUNCTION("""COMPUTED_VALUE"""),"2022/2023")</f>
        <v>2022/2023</v>
      </c>
      <c r="E656" s="9">
        <f>IFERROR(__xludf.DUMMYFUNCTION("""COMPUTED_VALUE"""),45167.0)</f>
        <v>45167</v>
      </c>
      <c r="F656" s="5" t="str">
        <f>IFERROR(__xludf.DUMMYFUNCTION("""COMPUTED_VALUE"""),"Genap")</f>
        <v>Genap</v>
      </c>
      <c r="G656" s="5" t="str">
        <f>IFERROR(__xludf.DUMMYFUNCTION("""COMPUTED_VALUE"""),"Akuntansi")</f>
        <v>Akuntansi</v>
      </c>
      <c r="H656" s="10" t="str">
        <f>IFERROR(__xludf.DUMMYFUNCTION("""COMPUTED_VALUE"""),"Mahasiswa")</f>
        <v>Mahasiswa</v>
      </c>
      <c r="I656" s="6" t="str">
        <f>IFERROR(__xludf.DUMMYFUNCTION("""COMPUTED_VALUE"""),"Tyta Nandung Ayu Rosanti")</f>
        <v>Tyta Nandung Ayu Rosanti</v>
      </c>
      <c r="J656" s="6" t="str">
        <f>IFERROR(__xludf.DUMMYFUNCTION("""COMPUTED_VALUE"""),"Eko Triyanto")</f>
        <v>Eko Triyanto</v>
      </c>
      <c r="K656" s="6"/>
      <c r="L656" s="6"/>
      <c r="M656" s="6"/>
      <c r="N656" s="6"/>
      <c r="O656" s="6"/>
      <c r="P656" s="10" t="str">
        <f>IFERROR(__xludf.DUMMYFUNCTION("""COMPUTED_VALUE"""),"Tyta Nandung Ayu Rosanti,Eko Triyanto,,")</f>
        <v>Tyta Nandung Ayu Rosanti,Eko Triyanto,,</v>
      </c>
      <c r="Q656" s="11" t="str">
        <f>IFERROR(__xludf.DUMMYFUNCTION("""COMPUTED_VALUE"""),"https://bajangjournal.com/index.php/JPDSH/article/view/6447")</f>
        <v>https://bajangjournal.com/index.php/JPDSH/article/view/6447</v>
      </c>
      <c r="R656" s="6"/>
    </row>
    <row r="657">
      <c r="A657" s="5">
        <f>IFERROR(__xludf.DUMMYFUNCTION("""COMPUTED_VALUE"""),656.0)</f>
        <v>656</v>
      </c>
      <c r="B657" s="6" t="str">
        <f>IFERROR(__xludf.DUMMYFUNCTION("""COMPUTED_VALUE"""),"Faktor-Faktor Yang Mempengaruhi Harga Saham Perusahaan Tekstil Di Bei Tahun 2019-2021")</f>
        <v>Faktor-Faktor Yang Mempengaruhi Harga Saham Perusahaan Tekstil Di Bei Tahun 2019-2021</v>
      </c>
      <c r="C657" s="7">
        <f>IFERROR(__xludf.DUMMYFUNCTION("""COMPUTED_VALUE"""),2023.0)</f>
        <v>2023</v>
      </c>
      <c r="D657" s="8" t="str">
        <f>IFERROR(__xludf.DUMMYFUNCTION("""COMPUTED_VALUE"""),"2022/2023")</f>
        <v>2022/2023</v>
      </c>
      <c r="E657" s="9">
        <f>IFERROR(__xludf.DUMMYFUNCTION("""COMPUTED_VALUE"""),45167.0)</f>
        <v>45167</v>
      </c>
      <c r="F657" s="5" t="str">
        <f>IFERROR(__xludf.DUMMYFUNCTION("""COMPUTED_VALUE"""),"Genap")</f>
        <v>Genap</v>
      </c>
      <c r="G657" s="5" t="str">
        <f>IFERROR(__xludf.DUMMYFUNCTION("""COMPUTED_VALUE"""),"Akuntansi")</f>
        <v>Akuntansi</v>
      </c>
      <c r="H657" s="10" t="str">
        <f>IFERROR(__xludf.DUMMYFUNCTION("""COMPUTED_VALUE"""),"Mahasiswa")</f>
        <v>Mahasiswa</v>
      </c>
      <c r="I657" s="6" t="str">
        <f>IFERROR(__xludf.DUMMYFUNCTION("""COMPUTED_VALUE"""),"Adinda Febryan
")</f>
        <v>Adinda Febryan
</v>
      </c>
      <c r="J657" s="6" t="str">
        <f>IFERROR(__xludf.DUMMYFUNCTION("""COMPUTED_VALUE"""),"Arif Nugroho Rachman")</f>
        <v>Arif Nugroho Rachman</v>
      </c>
      <c r="K657" s="6"/>
      <c r="L657" s="6"/>
      <c r="M657" s="6"/>
      <c r="N657" s="6"/>
      <c r="O657" s="6"/>
      <c r="P657" s="10" t="str">
        <f>IFERROR(__xludf.DUMMYFUNCTION("""COMPUTED_VALUE"""),"Adinda Febryan
,Arif Nugroho Rachman,,")</f>
        <v>Adinda Febryan
,Arif Nugroho Rachman,,</v>
      </c>
      <c r="Q657" s="11" t="str">
        <f>IFERROR(__xludf.DUMMYFUNCTION("""COMPUTED_VALUE"""),"https://jmi.rivierapublishing.id/index.php/rp/article/view/436")</f>
        <v>https://jmi.rivierapublishing.id/index.php/rp/article/view/436</v>
      </c>
      <c r="R657" s="6"/>
    </row>
    <row r="658">
      <c r="A658" s="5">
        <f>IFERROR(__xludf.DUMMYFUNCTION("""COMPUTED_VALUE"""),657.0)</f>
        <v>657</v>
      </c>
      <c r="B658" s="6" t="str">
        <f>IFERROR(__xludf.DUMMYFUNCTION("""COMPUTED_VALUE"""),"Strategi KSPPS BMT Syamil Ampel Menuju Ekspansi")</f>
        <v>Strategi KSPPS BMT Syamil Ampel Menuju Ekspansi</v>
      </c>
      <c r="C658" s="7">
        <f>IFERROR(__xludf.DUMMYFUNCTION("""COMPUTED_VALUE"""),2023.0)</f>
        <v>2023</v>
      </c>
      <c r="D658" s="8" t="str">
        <f>IFERROR(__xludf.DUMMYFUNCTION("""COMPUTED_VALUE"""),"2022/2023")</f>
        <v>2022/2023</v>
      </c>
      <c r="E658" s="9">
        <f>IFERROR(__xludf.DUMMYFUNCTION("""COMPUTED_VALUE"""),45168.0)</f>
        <v>45168</v>
      </c>
      <c r="F658" s="5" t="str">
        <f>IFERROR(__xludf.DUMMYFUNCTION("""COMPUTED_VALUE"""),"Genap")</f>
        <v>Genap</v>
      </c>
      <c r="G658" s="5" t="str">
        <f>IFERROR(__xludf.DUMMYFUNCTION("""COMPUTED_VALUE"""),"Akuntansi")</f>
        <v>Akuntansi</v>
      </c>
      <c r="H658" s="10" t="str">
        <f>IFERROR(__xludf.DUMMYFUNCTION("""COMPUTED_VALUE"""),"Dosen")</f>
        <v>Dosen</v>
      </c>
      <c r="I658" s="6" t="str">
        <f>IFERROR(__xludf.DUMMYFUNCTION("""COMPUTED_VALUE"""),"Ismunawan")</f>
        <v>Ismunawan</v>
      </c>
      <c r="J658" s="6" t="str">
        <f>IFERROR(__xludf.DUMMYFUNCTION("""COMPUTED_VALUE"""),"Arif Nugroho Rachman")</f>
        <v>Arif Nugroho Rachman</v>
      </c>
      <c r="K658" s="6" t="str">
        <f>IFERROR(__xludf.DUMMYFUNCTION("""COMPUTED_VALUE"""),"Amy Wulandari")</f>
        <v>Amy Wulandari</v>
      </c>
      <c r="L658" s="6" t="str">
        <f>IFERROR(__xludf.DUMMYFUNCTION("""COMPUTED_VALUE"""),"Eko Triyanto")</f>
        <v>Eko Triyanto</v>
      </c>
      <c r="M658" s="6" t="str">
        <f>IFERROR(__xludf.DUMMYFUNCTION("""COMPUTED_VALUE"""),"jalari")</f>
        <v>jalari</v>
      </c>
      <c r="N658" s="6"/>
      <c r="O658" s="6"/>
      <c r="P658" s="10" t="str">
        <f>IFERROR(__xludf.DUMMYFUNCTION("""COMPUTED_VALUE"""),"Ismunawan,Arif Nugroho Rachman,Amy Wulandari,Eko Triyanto")</f>
        <v>Ismunawan,Arif Nugroho Rachman,Amy Wulandari,Eko Triyanto</v>
      </c>
      <c r="Q658" s="11" t="str">
        <f>IFERROR(__xludf.DUMMYFUNCTION("""COMPUTED_VALUE"""),"https://drive.google.com/file/d/196O1Sob1cVjW3-NHFNsSDkqJTOScqlSH/view?usp=sharing")</f>
        <v>https://drive.google.com/file/d/196O1Sob1cVjW3-NHFNsSDkqJTOScqlSH/view?usp=sharing</v>
      </c>
      <c r="R658" s="11" t="str">
        <f>IFERROR(__xludf.DUMMYFUNCTION("""COMPUTED_VALUE"""),"https://www.researchgate.net/publication/371627067_Strategi_Kspps_Bmt_Syamil_Ampel_Menuju_Ekspansi")</f>
        <v>https://www.researchgate.net/publication/371627067_Strategi_Kspps_Bmt_Syamil_Ampel_Menuju_Ekspansi</v>
      </c>
    </row>
    <row r="659">
      <c r="A659" s="5">
        <f>IFERROR(__xludf.DUMMYFUNCTION("""COMPUTED_VALUE"""),658.0)</f>
        <v>658</v>
      </c>
      <c r="B659" s="6" t="str">
        <f>IFERROR(__xludf.DUMMYFUNCTION("""COMPUTED_VALUE"""),"Pengelolaan Pemasaran dan Pembukuan Secara Digital Pada Bisnis Kecil Ayam Potong ""D""")</f>
        <v>Pengelolaan Pemasaran dan Pembukuan Secara Digital Pada Bisnis Kecil Ayam Potong "D"</v>
      </c>
      <c r="C659" s="7">
        <f>IFERROR(__xludf.DUMMYFUNCTION("""COMPUTED_VALUE"""),2023.0)</f>
        <v>2023</v>
      </c>
      <c r="D659" s="8" t="str">
        <f>IFERROR(__xludf.DUMMYFUNCTION("""COMPUTED_VALUE"""),"2022/2023")</f>
        <v>2022/2023</v>
      </c>
      <c r="E659" s="9">
        <f>IFERROR(__xludf.DUMMYFUNCTION("""COMPUTED_VALUE"""),45168.0)</f>
        <v>45168</v>
      </c>
      <c r="F659" s="5" t="str">
        <f>IFERROR(__xludf.DUMMYFUNCTION("""COMPUTED_VALUE"""),"Genap")</f>
        <v>Genap</v>
      </c>
      <c r="G659" s="5" t="str">
        <f>IFERROR(__xludf.DUMMYFUNCTION("""COMPUTED_VALUE"""),"Akuntansi")</f>
        <v>Akuntansi</v>
      </c>
      <c r="H659" s="10" t="str">
        <f>IFERROR(__xludf.DUMMYFUNCTION("""COMPUTED_VALUE"""),"Dosen")</f>
        <v>Dosen</v>
      </c>
      <c r="I659" s="6" t="str">
        <f>IFERROR(__xludf.DUMMYFUNCTION("""COMPUTED_VALUE"""),"Dewi Ika Octavia")</f>
        <v>Dewi Ika Octavia</v>
      </c>
      <c r="J659" s="6" t="str">
        <f>IFERROR(__xludf.DUMMYFUNCTION("""COMPUTED_VALUE"""),"Tri Ratna Pamikatsih")</f>
        <v>Tri Ratna Pamikatsih</v>
      </c>
      <c r="K659" s="6" t="str">
        <f>IFERROR(__xludf.DUMMYFUNCTION("""COMPUTED_VALUE"""),"Putri Maisara")</f>
        <v>Putri Maisara</v>
      </c>
      <c r="L659" s="6" t="str">
        <f>IFERROR(__xludf.DUMMYFUNCTION("""COMPUTED_VALUE"""),"Amy Wulandari")</f>
        <v>Amy Wulandari</v>
      </c>
      <c r="M659" s="6"/>
      <c r="N659" s="6"/>
      <c r="O659" s="6"/>
      <c r="P659" s="10" t="str">
        <f>IFERROR(__xludf.DUMMYFUNCTION("""COMPUTED_VALUE"""),"Dewi Ika Octavia,Tri Ratna Pamikatsih,Putri Maisara,Amy Wulandari")</f>
        <v>Dewi Ika Octavia,Tri Ratna Pamikatsih,Putri Maisara,Amy Wulandari</v>
      </c>
      <c r="Q659" s="11" t="str">
        <f>IFERROR(__xludf.DUMMYFUNCTION("""COMPUTED_VALUE"""),"https://drive.google.com/file/d/1dM6NgI3rMIcm2Pess6WSZJzmYWgztl1e/view?usp=drive_link")</f>
        <v>https://drive.google.com/file/d/1dM6NgI3rMIcm2Pess6WSZJzmYWgztl1e/view?usp=drive_link</v>
      </c>
      <c r="R659" s="6"/>
    </row>
    <row r="660">
      <c r="A660" s="5">
        <f>IFERROR(__xludf.DUMMYFUNCTION("""COMPUTED_VALUE"""),659.0)</f>
        <v>659</v>
      </c>
      <c r="B660" s="6" t="str">
        <f>IFERROR(__xludf.DUMMYFUNCTION("""COMPUTED_VALUE"""),"Pengaruh Profitabilitas, Struktur Modal, Dan Kebijakan Dividen Terhadap Nilai Perusahaan")</f>
        <v>Pengaruh Profitabilitas, Struktur Modal, Dan Kebijakan Dividen Terhadap Nilai Perusahaan</v>
      </c>
      <c r="C660" s="7">
        <f>IFERROR(__xludf.DUMMYFUNCTION("""COMPUTED_VALUE"""),2023.0)</f>
        <v>2023</v>
      </c>
      <c r="D660" s="8" t="str">
        <f>IFERROR(__xludf.DUMMYFUNCTION("""COMPUTED_VALUE"""),"2022/2023")</f>
        <v>2022/2023</v>
      </c>
      <c r="E660" s="9">
        <f>IFERROR(__xludf.DUMMYFUNCTION("""COMPUTED_VALUE"""),45168.0)</f>
        <v>45168</v>
      </c>
      <c r="F660" s="5" t="str">
        <f>IFERROR(__xludf.DUMMYFUNCTION("""COMPUTED_VALUE"""),"Genap")</f>
        <v>Genap</v>
      </c>
      <c r="G660" s="5" t="str">
        <f>IFERROR(__xludf.DUMMYFUNCTION("""COMPUTED_VALUE"""),"Akuntansi")</f>
        <v>Akuntansi</v>
      </c>
      <c r="H660" s="10" t="str">
        <f>IFERROR(__xludf.DUMMYFUNCTION("""COMPUTED_VALUE"""),"Mahasiswa")</f>
        <v>Mahasiswa</v>
      </c>
      <c r="I660" s="6" t="str">
        <f>IFERROR(__xludf.DUMMYFUNCTION("""COMPUTED_VALUE"""),"Ridha Asmara Oktaviana")</f>
        <v>Ridha Asmara Oktaviana</v>
      </c>
      <c r="J660" s="6" t="str">
        <f>IFERROR(__xludf.DUMMYFUNCTION("""COMPUTED_VALUE"""),"Rosita")</f>
        <v>Rosita</v>
      </c>
      <c r="K660" s="6"/>
      <c r="L660" s="6"/>
      <c r="M660" s="6"/>
      <c r="N660" s="6"/>
      <c r="O660" s="6"/>
      <c r="P660" s="10" t="str">
        <f>IFERROR(__xludf.DUMMYFUNCTION("""COMPUTED_VALUE"""),"Ridha Asmara Oktaviana,Rosita,,")</f>
        <v>Ridha Asmara Oktaviana,Rosita,,</v>
      </c>
      <c r="Q660" s="11" t="str">
        <f>IFERROR(__xludf.DUMMYFUNCTION("""COMPUTED_VALUE"""),"https://jurnal.stie-aas.ac.id/index.php/jie/article/view/9185")</f>
        <v>https://jurnal.stie-aas.ac.id/index.php/jie/article/view/9185</v>
      </c>
      <c r="R660" s="6"/>
    </row>
    <row r="661">
      <c r="A661" s="5">
        <f>IFERROR(__xludf.DUMMYFUNCTION("""COMPUTED_VALUE"""),660.0)</f>
        <v>660</v>
      </c>
      <c r="B661" s="6" t="str">
        <f>IFERROR(__xludf.DUMMYFUNCTION("""COMPUTED_VALUE"""),"Pengaruh Brand Loyalty, Brand Trust Dan Harga Terhadap Keputusan Pembelian Ulang Paket Data Tri Di Solo Raya")</f>
        <v>Pengaruh Brand Loyalty, Brand Trust Dan Harga Terhadap Keputusan Pembelian Ulang Paket Data Tri Di Solo Raya</v>
      </c>
      <c r="C661" s="7">
        <f>IFERROR(__xludf.DUMMYFUNCTION("""COMPUTED_VALUE"""),2023.0)</f>
        <v>2023</v>
      </c>
      <c r="D661" s="8" t="str">
        <f>IFERROR(__xludf.DUMMYFUNCTION("""COMPUTED_VALUE"""),"2022/2023")</f>
        <v>2022/2023</v>
      </c>
      <c r="E661" s="9">
        <f>IFERROR(__xludf.DUMMYFUNCTION("""COMPUTED_VALUE"""),45168.0)</f>
        <v>45168</v>
      </c>
      <c r="F661" s="5" t="str">
        <f>IFERROR(__xludf.DUMMYFUNCTION("""COMPUTED_VALUE"""),"Genap")</f>
        <v>Genap</v>
      </c>
      <c r="G661" s="5" t="str">
        <f>IFERROR(__xludf.DUMMYFUNCTION("""COMPUTED_VALUE"""),"Manajemen")</f>
        <v>Manajemen</v>
      </c>
      <c r="H661" s="10" t="str">
        <f>IFERROR(__xludf.DUMMYFUNCTION("""COMPUTED_VALUE"""),"Mahasiswa")</f>
        <v>Mahasiswa</v>
      </c>
      <c r="I661" s="6" t="str">
        <f>IFERROR(__xludf.DUMMYFUNCTION("""COMPUTED_VALUE"""),"Rivaldo Yudha Bagus Saputra")</f>
        <v>Rivaldo Yudha Bagus Saputra</v>
      </c>
      <c r="J661" s="6" t="str">
        <f>IFERROR(__xludf.DUMMYFUNCTION("""COMPUTED_VALUE"""),"Atik Lusia")</f>
        <v>Atik Lusia</v>
      </c>
      <c r="K661" s="6"/>
      <c r="L661" s="6"/>
      <c r="M661" s="6"/>
      <c r="N661" s="6"/>
      <c r="O661" s="6"/>
      <c r="P661" s="10" t="str">
        <f>IFERROR(__xludf.DUMMYFUNCTION("""COMPUTED_VALUE"""),"Rivaldo Yudha Bagus Saputra,Atik Lusia,,")</f>
        <v>Rivaldo Yudha Bagus Saputra,Atik Lusia,,</v>
      </c>
      <c r="Q661" s="11" t="str">
        <f>IFERROR(__xludf.DUMMYFUNCTION("""COMPUTED_VALUE"""),"https://journal.uniku.ac.id/index.php/ijsm/article/view/7900")</f>
        <v>https://journal.uniku.ac.id/index.php/ijsm/article/view/7900</v>
      </c>
      <c r="R661" s="6"/>
    </row>
    <row r="662">
      <c r="A662" s="5">
        <f>IFERROR(__xludf.DUMMYFUNCTION("""COMPUTED_VALUE"""),661.0)</f>
        <v>661</v>
      </c>
      <c r="B662" s="6" t="str">
        <f>IFERROR(__xludf.DUMMYFUNCTION("""COMPUTED_VALUE"""),"Pengelolaan Pemasaran Dan Pembukuan Secara Digital Pada Bisnis Kecil Ayam Potong “D”")</f>
        <v>Pengelolaan Pemasaran Dan Pembukuan Secara Digital Pada Bisnis Kecil Ayam Potong “D”</v>
      </c>
      <c r="C662" s="7">
        <f>IFERROR(__xludf.DUMMYFUNCTION("""COMPUTED_VALUE"""),2023.0)</f>
        <v>2023</v>
      </c>
      <c r="D662" s="8" t="str">
        <f>IFERROR(__xludf.DUMMYFUNCTION("""COMPUTED_VALUE"""),"2022/2023")</f>
        <v>2022/2023</v>
      </c>
      <c r="E662" s="9">
        <f>IFERROR(__xludf.DUMMYFUNCTION("""COMPUTED_VALUE"""),45168.0)</f>
        <v>45168</v>
      </c>
      <c r="F662" s="5" t="str">
        <f>IFERROR(__xludf.DUMMYFUNCTION("""COMPUTED_VALUE"""),"Genap")</f>
        <v>Genap</v>
      </c>
      <c r="G662" s="5" t="str">
        <f>IFERROR(__xludf.DUMMYFUNCTION("""COMPUTED_VALUE"""),"Akuntansi")</f>
        <v>Akuntansi</v>
      </c>
      <c r="H662" s="10" t="str">
        <f>IFERROR(__xludf.DUMMYFUNCTION("""COMPUTED_VALUE"""),"Dosen")</f>
        <v>Dosen</v>
      </c>
      <c r="I662" s="6" t="str">
        <f>IFERROR(__xludf.DUMMYFUNCTION("""COMPUTED_VALUE"""),"Dewi Ika Octavia")</f>
        <v>Dewi Ika Octavia</v>
      </c>
      <c r="J662" s="6" t="str">
        <f>IFERROR(__xludf.DUMMYFUNCTION("""COMPUTED_VALUE"""),"Tri Ratna Pamikatsih")</f>
        <v>Tri Ratna Pamikatsih</v>
      </c>
      <c r="K662" s="6" t="str">
        <f>IFERROR(__xludf.DUMMYFUNCTION("""COMPUTED_VALUE"""),"Putri Maisara")</f>
        <v>Putri Maisara</v>
      </c>
      <c r="L662" s="6" t="str">
        <f>IFERROR(__xludf.DUMMYFUNCTION("""COMPUTED_VALUE"""),"Amy Wulandari")</f>
        <v>Amy Wulandari</v>
      </c>
      <c r="M662" s="6"/>
      <c r="N662" s="6"/>
      <c r="O662" s="6"/>
      <c r="P662" s="10" t="str">
        <f>IFERROR(__xludf.DUMMYFUNCTION("""COMPUTED_VALUE"""),"Dewi Ika Octavia,Tri Ratna Pamikatsih,Putri Maisara,Amy Wulandari")</f>
        <v>Dewi Ika Octavia,Tri Ratna Pamikatsih,Putri Maisara,Amy Wulandari</v>
      </c>
      <c r="Q662" s="11" t="str">
        <f>IFERROR(__xludf.DUMMYFUNCTION("""COMPUTED_VALUE"""),"https://drive.google.com/file/d/1dM6NgI3rMIcm2Pess6WSZJzmYWgztl1e/view?usp=drive_link")</f>
        <v>https://drive.google.com/file/d/1dM6NgI3rMIcm2Pess6WSZJzmYWgztl1e/view?usp=drive_link</v>
      </c>
      <c r="R662" s="11" t="str">
        <f>IFERROR(__xludf.DUMMYFUNCTION("""COMPUTED_VALUE"""),"https://www.researchgate.net/publication/371628596_Pengelolaan_Pemasaran_dan_Pembukuan_Secara_Digital_Pada_Bisnis_Kecil_Ayam_Potong_D")</f>
        <v>https://www.researchgate.net/publication/371628596_Pengelolaan_Pemasaran_dan_Pembukuan_Secara_Digital_Pada_Bisnis_Kecil_Ayam_Potong_D</v>
      </c>
    </row>
    <row r="663">
      <c r="A663" s="5">
        <f>IFERROR(__xludf.DUMMYFUNCTION("""COMPUTED_VALUE"""),662.0)</f>
        <v>662</v>
      </c>
      <c r="B663" s="6" t="str">
        <f>IFERROR(__xludf.DUMMYFUNCTION("""COMPUTED_VALUE"""),"The Influence of Digital Marketing, Brand Preference, and Product Quality on Buying Decision of Skincare Products")</f>
        <v>The Influence of Digital Marketing, Brand Preference, and Product Quality on Buying Decision of Skincare Products</v>
      </c>
      <c r="C663" s="7">
        <f>IFERROR(__xludf.DUMMYFUNCTION("""COMPUTED_VALUE"""),2023.0)</f>
        <v>2023</v>
      </c>
      <c r="D663" s="8" t="str">
        <f>IFERROR(__xludf.DUMMYFUNCTION("""COMPUTED_VALUE"""),"2022/2023")</f>
        <v>2022/2023</v>
      </c>
      <c r="E663" s="9">
        <f>IFERROR(__xludf.DUMMYFUNCTION("""COMPUTED_VALUE"""),45169.0)</f>
        <v>45169</v>
      </c>
      <c r="F663" s="5" t="str">
        <f>IFERROR(__xludf.DUMMYFUNCTION("""COMPUTED_VALUE"""),"Genap")</f>
        <v>Genap</v>
      </c>
      <c r="G663" s="5" t="str">
        <f>IFERROR(__xludf.DUMMYFUNCTION("""COMPUTED_VALUE"""),"Manajemen")</f>
        <v>Manajemen</v>
      </c>
      <c r="H663" s="10" t="str">
        <f>IFERROR(__xludf.DUMMYFUNCTION("""COMPUTED_VALUE"""),"Mahasiswa")</f>
        <v>Mahasiswa</v>
      </c>
      <c r="I663" s="6" t="str">
        <f>IFERROR(__xludf.DUMMYFUNCTION("""COMPUTED_VALUE"""),"Nur Hannifah")</f>
        <v>Nur Hannifah</v>
      </c>
      <c r="J663" s="6" t="str">
        <f>IFERROR(__xludf.DUMMYFUNCTION("""COMPUTED_VALUE"""),"Ari Susanti")</f>
        <v>Ari Susanti</v>
      </c>
      <c r="K663" s="6"/>
      <c r="L663" s="6"/>
      <c r="M663" s="6"/>
      <c r="N663" s="6"/>
      <c r="O663" s="6"/>
      <c r="P663" s="10" t="str">
        <f>IFERROR(__xludf.DUMMYFUNCTION("""COMPUTED_VALUE"""),"Nur Hannifah,Ari Susanti,,")</f>
        <v>Nur Hannifah,Ari Susanti,,</v>
      </c>
      <c r="Q663" s="11" t="str">
        <f>IFERROR(__xludf.DUMMYFUNCTION("""COMPUTED_VALUE"""),"https://e-journal.unair.ac.id/AJIM/article/view/45494")</f>
        <v>https://e-journal.unair.ac.id/AJIM/article/view/45494</v>
      </c>
      <c r="R663" s="6"/>
    </row>
    <row r="664">
      <c r="A664" s="5">
        <f>IFERROR(__xludf.DUMMYFUNCTION("""COMPUTED_VALUE"""),663.0)</f>
        <v>663</v>
      </c>
      <c r="B664" s="6" t="str">
        <f>IFERROR(__xludf.DUMMYFUNCTION("""COMPUTED_VALUE"""),"Endorse Influencers, E-Service Quality And Perceived Ease Of Buying Interest Through Tiktok")</f>
        <v>Endorse Influencers, E-Service Quality And Perceived Ease Of Buying Interest Through Tiktok</v>
      </c>
      <c r="C664" s="7">
        <f>IFERROR(__xludf.DUMMYFUNCTION("""COMPUTED_VALUE"""),2023.0)</f>
        <v>2023</v>
      </c>
      <c r="D664" s="8" t="str">
        <f>IFERROR(__xludf.DUMMYFUNCTION("""COMPUTED_VALUE"""),"2022/2023")</f>
        <v>2022/2023</v>
      </c>
      <c r="E664" s="9">
        <f>IFERROR(__xludf.DUMMYFUNCTION("""COMPUTED_VALUE"""),45169.0)</f>
        <v>45169</v>
      </c>
      <c r="F664" s="5" t="str">
        <f>IFERROR(__xludf.DUMMYFUNCTION("""COMPUTED_VALUE"""),"Genap")</f>
        <v>Genap</v>
      </c>
      <c r="G664" s="5" t="str">
        <f>IFERROR(__xludf.DUMMYFUNCTION("""COMPUTED_VALUE"""),"Manajemen")</f>
        <v>Manajemen</v>
      </c>
      <c r="H664" s="10" t="str">
        <f>IFERROR(__xludf.DUMMYFUNCTION("""COMPUTED_VALUE"""),"Mahasiswa")</f>
        <v>Mahasiswa</v>
      </c>
      <c r="I664" s="6" t="str">
        <f>IFERROR(__xludf.DUMMYFUNCTION("""COMPUTED_VALUE"""),"Rika Dwi Saputri")</f>
        <v>Rika Dwi Saputri</v>
      </c>
      <c r="J664" s="6" t="str">
        <f>IFERROR(__xludf.DUMMYFUNCTION("""COMPUTED_VALUE"""),"Ginanjar Rahmawan")</f>
        <v>Ginanjar Rahmawan</v>
      </c>
      <c r="K664" s="6"/>
      <c r="L664" s="6"/>
      <c r="M664" s="6"/>
      <c r="N664" s="6"/>
      <c r="O664" s="6"/>
      <c r="P664" s="10" t="str">
        <f>IFERROR(__xludf.DUMMYFUNCTION("""COMPUTED_VALUE"""),"Rika Dwi Saputri,Ginanjar Rahmawan,,")</f>
        <v>Rika Dwi Saputri,Ginanjar Rahmawan,,</v>
      </c>
      <c r="Q664" s="11" t="str">
        <f>IFERROR(__xludf.DUMMYFUNCTION("""COMPUTED_VALUE"""),"https://ejournal2.uika-bogor.ac.id/index.php/Manager/article/view/458")</f>
        <v>https://ejournal2.uika-bogor.ac.id/index.php/Manager/article/view/458</v>
      </c>
      <c r="R664" s="6"/>
    </row>
    <row r="665">
      <c r="A665" s="5">
        <f>IFERROR(__xludf.DUMMYFUNCTION("""COMPUTED_VALUE"""),664.0)</f>
        <v>664</v>
      </c>
      <c r="B665" s="6" t="str">
        <f>IFERROR(__xludf.DUMMYFUNCTION("""COMPUTED_VALUE"""),"Pengaruh Inovasi Produk, Kepercayaan Merek, dan Keragaman Produk terhadap Keputusan Pembelian Honda Beat di Surakarta")</f>
        <v>Pengaruh Inovasi Produk, Kepercayaan Merek, dan Keragaman Produk terhadap Keputusan Pembelian Honda Beat di Surakarta</v>
      </c>
      <c r="C665" s="7">
        <f>IFERROR(__xludf.DUMMYFUNCTION("""COMPUTED_VALUE"""),2023.0)</f>
        <v>2023</v>
      </c>
      <c r="D665" s="8" t="str">
        <f>IFERROR(__xludf.DUMMYFUNCTION("""COMPUTED_VALUE"""),"2022/2023")</f>
        <v>2022/2023</v>
      </c>
      <c r="E665" s="9">
        <f>IFERROR(__xludf.DUMMYFUNCTION("""COMPUTED_VALUE"""),45170.0)</f>
        <v>45170</v>
      </c>
      <c r="F665" s="5" t="str">
        <f>IFERROR(__xludf.DUMMYFUNCTION("""COMPUTED_VALUE"""),"Genap")</f>
        <v>Genap</v>
      </c>
      <c r="G665" s="5" t="str">
        <f>IFERROR(__xludf.DUMMYFUNCTION("""COMPUTED_VALUE"""),"Manajemen")</f>
        <v>Manajemen</v>
      </c>
      <c r="H665" s="10" t="str">
        <f>IFERROR(__xludf.DUMMYFUNCTION("""COMPUTED_VALUE"""),"Mahasiswa")</f>
        <v>Mahasiswa</v>
      </c>
      <c r="I665" s="6" t="str">
        <f>IFERROR(__xludf.DUMMYFUNCTION("""COMPUTED_VALUE"""),"Erlina Tika Aryani")</f>
        <v>Erlina Tika Aryani</v>
      </c>
      <c r="J665" s="6" t="str">
        <f>IFERROR(__xludf.DUMMYFUNCTION("""COMPUTED_VALUE"""),"Heny Kurnianingsih")</f>
        <v>Heny Kurnianingsih</v>
      </c>
      <c r="K665" s="6"/>
      <c r="L665" s="6"/>
      <c r="M665" s="6"/>
      <c r="N665" s="6"/>
      <c r="O665" s="6"/>
      <c r="P665" s="10" t="str">
        <f>IFERROR(__xludf.DUMMYFUNCTION("""COMPUTED_VALUE"""),"Erlina Tika Aryani,Heny Kurnianingsih,,")</f>
        <v>Erlina Tika Aryani,Heny Kurnianingsih,,</v>
      </c>
      <c r="Q665" s="11" t="str">
        <f>IFERROR(__xludf.DUMMYFUNCTION("""COMPUTED_VALUE"""),"https://drive.google.com/file/d/1HgHQXR-wYa4kXv2ySNh9VDJswbyDpMeB/view?usp=sharing")</f>
        <v>https://drive.google.com/file/d/1HgHQXR-wYa4kXv2ySNh9VDJswbyDpMeB/view?usp=sharing</v>
      </c>
      <c r="R665" s="11" t="str">
        <f>IFERROR(__xludf.DUMMYFUNCTION("""COMPUTED_VALUE"""),"https://ejournal-polnam.ac.id/index.php/JurnalManeksi/article/view/1488")</f>
        <v>https://ejournal-polnam.ac.id/index.php/JurnalManeksi/article/view/1488</v>
      </c>
    </row>
    <row r="666">
      <c r="A666" s="5">
        <f>IFERROR(__xludf.DUMMYFUNCTION("""COMPUTED_VALUE"""),665.0)</f>
        <v>665</v>
      </c>
      <c r="B666" s="6" t="str">
        <f>IFERROR(__xludf.DUMMYFUNCTION("""COMPUTED_VALUE"""),"PENGARUH PERSEPSI PERFORMA, PERSEPSI INVESTASI, DAN SIKAP NOSTALGIA TERHADAP KEPUTUSAN PEMBELIAN MOTOR 2 TAK")</f>
        <v>PENGARUH PERSEPSI PERFORMA, PERSEPSI INVESTASI, DAN SIKAP NOSTALGIA TERHADAP KEPUTUSAN PEMBELIAN MOTOR 2 TAK</v>
      </c>
      <c r="C666" s="7">
        <f>IFERROR(__xludf.DUMMYFUNCTION("""COMPUTED_VALUE"""),2023.0)</f>
        <v>2023</v>
      </c>
      <c r="D666" s="8" t="str">
        <f>IFERROR(__xludf.DUMMYFUNCTION("""COMPUTED_VALUE"""),"2022/2023")</f>
        <v>2022/2023</v>
      </c>
      <c r="E666" s="9">
        <f>IFERROR(__xludf.DUMMYFUNCTION("""COMPUTED_VALUE"""),45170.0)</f>
        <v>45170</v>
      </c>
      <c r="F666" s="5" t="str">
        <f>IFERROR(__xludf.DUMMYFUNCTION("""COMPUTED_VALUE"""),"Genap")</f>
        <v>Genap</v>
      </c>
      <c r="G666" s="5" t="str">
        <f>IFERROR(__xludf.DUMMYFUNCTION("""COMPUTED_VALUE"""),"Manajemen")</f>
        <v>Manajemen</v>
      </c>
      <c r="H666" s="10" t="str">
        <f>IFERROR(__xludf.DUMMYFUNCTION("""COMPUTED_VALUE"""),"Mahasiswa")</f>
        <v>Mahasiswa</v>
      </c>
      <c r="I666" s="6" t="str">
        <f>IFERROR(__xludf.DUMMYFUNCTION("""COMPUTED_VALUE"""),"Lawi Lexika Sandi")</f>
        <v>Lawi Lexika Sandi</v>
      </c>
      <c r="J666" s="6" t="str">
        <f>IFERROR(__xludf.DUMMYFUNCTION("""COMPUTED_VALUE"""),"Ginanjar Rahmawan")</f>
        <v>Ginanjar Rahmawan</v>
      </c>
      <c r="K666" s="6"/>
      <c r="L666" s="6"/>
      <c r="M666" s="6"/>
      <c r="N666" s="6"/>
      <c r="O666" s="6"/>
      <c r="P666" s="10" t="str">
        <f>IFERROR(__xludf.DUMMYFUNCTION("""COMPUTED_VALUE"""),"Lawi Lexika Sandi,Ginanjar Rahmawan,,")</f>
        <v>Lawi Lexika Sandi,Ginanjar Rahmawan,,</v>
      </c>
      <c r="Q666" s="11" t="str">
        <f>IFERROR(__xludf.DUMMYFUNCTION("""COMPUTED_VALUE"""),"https://ojs.co.id/1/index.php/ike/article/view/96")</f>
        <v>https://ojs.co.id/1/index.php/ike/article/view/96</v>
      </c>
      <c r="R666" s="6"/>
    </row>
    <row r="667">
      <c r="A667" s="5">
        <f>IFERROR(__xludf.DUMMYFUNCTION("""COMPUTED_VALUE"""),666.0)</f>
        <v>666</v>
      </c>
      <c r="B667" s="6" t="str">
        <f>IFERROR(__xludf.DUMMYFUNCTION("""COMPUTED_VALUE"""),"ANALISIS PENENTUAN HARGA POKOK PRODUKSI DENGAN METODE HARGA POKOK PESANAN PADA CV. CAHAYA BERKAH MADANI (UNIT NH COLLECTION)")</f>
        <v>ANALISIS PENENTUAN HARGA POKOK PRODUKSI DENGAN METODE HARGA POKOK PESANAN PADA CV. CAHAYA BERKAH MADANI (UNIT NH COLLECTION)</v>
      </c>
      <c r="C667" s="7">
        <f>IFERROR(__xludf.DUMMYFUNCTION("""COMPUTED_VALUE"""),2023.0)</f>
        <v>2023</v>
      </c>
      <c r="D667" s="8" t="str">
        <f>IFERROR(__xludf.DUMMYFUNCTION("""COMPUTED_VALUE"""),"2022/2023")</f>
        <v>2022/2023</v>
      </c>
      <c r="E667" s="9">
        <f>IFERROR(__xludf.DUMMYFUNCTION("""COMPUTED_VALUE"""),45170.0)</f>
        <v>45170</v>
      </c>
      <c r="F667" s="5" t="str">
        <f>IFERROR(__xludf.DUMMYFUNCTION("""COMPUTED_VALUE"""),"Genap")</f>
        <v>Genap</v>
      </c>
      <c r="G667" s="5" t="str">
        <f>IFERROR(__xludf.DUMMYFUNCTION("""COMPUTED_VALUE"""),"Akuntansi")</f>
        <v>Akuntansi</v>
      </c>
      <c r="H667" s="10" t="str">
        <f>IFERROR(__xludf.DUMMYFUNCTION("""COMPUTED_VALUE"""),"Mahasiswa")</f>
        <v>Mahasiswa</v>
      </c>
      <c r="I667" s="6" t="str">
        <f>IFERROR(__xludf.DUMMYFUNCTION("""COMPUTED_VALUE"""),"Lia Sukma Dai Lukmana")</f>
        <v>Lia Sukma Dai Lukmana</v>
      </c>
      <c r="J667" s="6" t="str">
        <f>IFERROR(__xludf.DUMMYFUNCTION("""COMPUTED_VALUE"""),"Eko Triyanto")</f>
        <v>Eko Triyanto</v>
      </c>
      <c r="K667" s="6"/>
      <c r="L667" s="6"/>
      <c r="M667" s="6"/>
      <c r="N667" s="6"/>
      <c r="O667" s="6"/>
      <c r="P667" s="10" t="str">
        <f>IFERROR(__xludf.DUMMYFUNCTION("""COMPUTED_VALUE"""),"Lia Sukma Dai Lukmana,Eko Triyanto,,")</f>
        <v>Lia Sukma Dai Lukmana,Eko Triyanto,,</v>
      </c>
      <c r="Q667" s="11" t="str">
        <f>IFERROR(__xludf.DUMMYFUNCTION("""COMPUTED_VALUE"""),"https://ejournal.stpmataram.ac.id/JIP/article/view/2783")</f>
        <v>https://ejournal.stpmataram.ac.id/JIP/article/view/2783</v>
      </c>
      <c r="R667" s="6"/>
    </row>
    <row r="668">
      <c r="A668" s="5">
        <f>IFERROR(__xludf.DUMMYFUNCTION("""COMPUTED_VALUE"""),667.0)</f>
        <v>667</v>
      </c>
      <c r="B668" s="6" t="str">
        <f>IFERROR(__xludf.DUMMYFUNCTION("""COMPUTED_VALUE"""),"Analisis Pengaruh Brand Image, Price Discount, Package Bonuses dan Kualitas Produk Terhadap Impulse Buying Pada Produk Oriflame")</f>
        <v>Analisis Pengaruh Brand Image, Price Discount, Package Bonuses dan Kualitas Produk Terhadap Impulse Buying Pada Produk Oriflame</v>
      </c>
      <c r="C668" s="7">
        <f>IFERROR(__xludf.DUMMYFUNCTION("""COMPUTED_VALUE"""),2023.0)</f>
        <v>2023</v>
      </c>
      <c r="D668" s="8" t="str">
        <f>IFERROR(__xludf.DUMMYFUNCTION("""COMPUTED_VALUE"""),"2023/2024")</f>
        <v>2023/2024</v>
      </c>
      <c r="E668" s="9">
        <f>IFERROR(__xludf.DUMMYFUNCTION("""COMPUTED_VALUE"""),45175.0)</f>
        <v>45175</v>
      </c>
      <c r="F668" s="5" t="str">
        <f>IFERROR(__xludf.DUMMYFUNCTION("""COMPUTED_VALUE"""),"Ganjil")</f>
        <v>Ganjil</v>
      </c>
      <c r="G668" s="5" t="str">
        <f>IFERROR(__xludf.DUMMYFUNCTION("""COMPUTED_VALUE"""),"Manajemen")</f>
        <v>Manajemen</v>
      </c>
      <c r="H668" s="10" t="str">
        <f>IFERROR(__xludf.DUMMYFUNCTION("""COMPUTED_VALUE"""),"Mahasiswa")</f>
        <v>Mahasiswa</v>
      </c>
      <c r="I668" s="6" t="str">
        <f>IFERROR(__xludf.DUMMYFUNCTION("""COMPUTED_VALUE"""),"Afifah Yulia Rahma")</f>
        <v>Afifah Yulia Rahma</v>
      </c>
      <c r="J668" s="6" t="str">
        <f>IFERROR(__xludf.DUMMYFUNCTION("""COMPUTED_VALUE"""),"Andri Nurtantiono")</f>
        <v>Andri Nurtantiono</v>
      </c>
      <c r="K668" s="6"/>
      <c r="L668" s="6"/>
      <c r="M668" s="6"/>
      <c r="N668" s="6"/>
      <c r="O668" s="6"/>
      <c r="P668" s="10" t="str">
        <f>IFERROR(__xludf.DUMMYFUNCTION("""COMPUTED_VALUE"""),"Afifah Yulia Rahma, Andri Nurtantiono")</f>
        <v>Afifah Yulia Rahma, Andri Nurtantiono</v>
      </c>
      <c r="Q668" s="11" t="str">
        <f>IFERROR(__xludf.DUMMYFUNCTION("""COMPUTED_VALUE"""),"https://bajangjournal.com/index.php/Juremi/article/view/4451")</f>
        <v>https://bajangjournal.com/index.php/Juremi/article/view/4451</v>
      </c>
      <c r="R668" s="11" t="str">
        <f>IFERROR(__xludf.DUMMYFUNCTION("""COMPUTED_VALUE"""),"https://drive.google.com/file/d/1b8NLVgcMLEE5Uq1yO1oVAVzuFzI_OuEl/view?usp=sharing")</f>
        <v>https://drive.google.com/file/d/1b8NLVgcMLEE5Uq1yO1oVAVzuFzI_OuEl/view?usp=sharing</v>
      </c>
    </row>
    <row r="669">
      <c r="A669" s="5">
        <f>IFERROR(__xludf.DUMMYFUNCTION("""COMPUTED_VALUE"""),668.0)</f>
        <v>668</v>
      </c>
      <c r="B669" s="6" t="str">
        <f>IFERROR(__xludf.DUMMYFUNCTION("""COMPUTED_VALUE"""),"Peningkatan Akuntabilitas Dan Transparansi Informasi Keuangan Sebagai Upaya Peningkatan Sustainability Di Batik Kedung Gudel Sukoharjo")</f>
        <v>Peningkatan Akuntabilitas Dan Transparansi Informasi Keuangan Sebagai Upaya Peningkatan Sustainability Di Batik Kedung Gudel Sukoharjo</v>
      </c>
      <c r="C669" s="7">
        <f>IFERROR(__xludf.DUMMYFUNCTION("""COMPUTED_VALUE"""),2023.0)</f>
        <v>2023</v>
      </c>
      <c r="D669" s="8" t="str">
        <f>IFERROR(__xludf.DUMMYFUNCTION("""COMPUTED_VALUE"""),"2023/2024")</f>
        <v>2023/2024</v>
      </c>
      <c r="E669" s="9">
        <f>IFERROR(__xludf.DUMMYFUNCTION("""COMPUTED_VALUE"""),45175.0)</f>
        <v>45175</v>
      </c>
      <c r="F669" s="5" t="str">
        <f>IFERROR(__xludf.DUMMYFUNCTION("""COMPUTED_VALUE"""),"Ganjil")</f>
        <v>Ganjil</v>
      </c>
      <c r="G669" s="5" t="str">
        <f>IFERROR(__xludf.DUMMYFUNCTION("""COMPUTED_VALUE"""),"Akuntansi")</f>
        <v>Akuntansi</v>
      </c>
      <c r="H669" s="10" t="str">
        <f>IFERROR(__xludf.DUMMYFUNCTION("""COMPUTED_VALUE"""),"Dosen")</f>
        <v>Dosen</v>
      </c>
      <c r="I669" s="6" t="str">
        <f>IFERROR(__xludf.DUMMYFUNCTION("""COMPUTED_VALUE"""),"Astuning Saharsini")</f>
        <v>Astuning Saharsini</v>
      </c>
      <c r="J669" s="6" t="str">
        <f>IFERROR(__xludf.DUMMYFUNCTION("""COMPUTED_VALUE"""),"Ari Susanti")</f>
        <v>Ari Susanti</v>
      </c>
      <c r="K669" s="6" t="str">
        <f>IFERROR(__xludf.DUMMYFUNCTION("""COMPUTED_VALUE"""),"Era Trianita Saputra")</f>
        <v>Era Trianita Saputra</v>
      </c>
      <c r="L669" s="6" t="str">
        <f>IFERROR(__xludf.DUMMYFUNCTION("""COMPUTED_VALUE"""),"Budi Istiyanto")</f>
        <v>Budi Istiyanto</v>
      </c>
      <c r="M669" s="6" t="str">
        <f>IFERROR(__xludf.DUMMYFUNCTION("""COMPUTED_VALUE"""),"Aditya Liliyan")</f>
        <v>Aditya Liliyan</v>
      </c>
      <c r="N669" s="6" t="str">
        <f>IFERROR(__xludf.DUMMYFUNCTION("""COMPUTED_VALUE"""),"Sabiila Rahmat Tania")</f>
        <v>Sabiila Rahmat Tania</v>
      </c>
      <c r="O669" s="6"/>
      <c r="P669" s="10"/>
      <c r="Q669" s="11" t="str">
        <f>IFERROR(__xludf.DUMMYFUNCTION("""COMPUTED_VALUE"""),"https://drive.google.com/file/d/1cNDlr0qVK0hDhfoYXDgdk-tt0atnxAT0/view?usp=sharing")</f>
        <v>https://drive.google.com/file/d/1cNDlr0qVK0hDhfoYXDgdk-tt0atnxAT0/view?usp=sharing</v>
      </c>
      <c r="R669" s="11" t="str">
        <f>IFERROR(__xludf.DUMMYFUNCTION("""COMPUTED_VALUE"""),"https://journal.unrika.ac.id/index.php/MNDBHRU/article/view/5372")</f>
        <v>https://journal.unrika.ac.id/index.php/MNDBHRU/article/view/5372</v>
      </c>
    </row>
    <row r="670">
      <c r="A670" s="5">
        <f>IFERROR(__xludf.DUMMYFUNCTION("""COMPUTED_VALUE"""),669.0)</f>
        <v>669</v>
      </c>
      <c r="B670" s="6" t="str">
        <f>IFERROR(__xludf.DUMMYFUNCTION("""COMPUTED_VALUE"""),"Pengaruh Sudut Pandang Brand terhadap Keputusan Pembelian Investasi Reksa Dana Aplikasi Bibit")</f>
        <v>Pengaruh Sudut Pandang Brand terhadap Keputusan Pembelian Investasi Reksa Dana Aplikasi Bibit</v>
      </c>
      <c r="C670" s="7">
        <f>IFERROR(__xludf.DUMMYFUNCTION("""COMPUTED_VALUE"""),2023.0)</f>
        <v>2023</v>
      </c>
      <c r="D670" s="8" t="str">
        <f>IFERROR(__xludf.DUMMYFUNCTION("""COMPUTED_VALUE"""),"2023/2024")</f>
        <v>2023/2024</v>
      </c>
      <c r="E670" s="9">
        <f>IFERROR(__xludf.DUMMYFUNCTION("""COMPUTED_VALUE"""),45178.0)</f>
        <v>45178</v>
      </c>
      <c r="F670" s="5" t="str">
        <f>IFERROR(__xludf.DUMMYFUNCTION("""COMPUTED_VALUE"""),"Ganjil")</f>
        <v>Ganjil</v>
      </c>
      <c r="G670" s="5" t="str">
        <f>IFERROR(__xludf.DUMMYFUNCTION("""COMPUTED_VALUE"""),"Manajemen")</f>
        <v>Manajemen</v>
      </c>
      <c r="H670" s="10" t="str">
        <f>IFERROR(__xludf.DUMMYFUNCTION("""COMPUTED_VALUE"""),"Mahasiswa")</f>
        <v>Mahasiswa</v>
      </c>
      <c r="I670" s="6" t="str">
        <f>IFERROR(__xludf.DUMMYFUNCTION("""COMPUTED_VALUE"""),"Rofan Dwi Sulistyo")</f>
        <v>Rofan Dwi Sulistyo</v>
      </c>
      <c r="J670" s="6" t="str">
        <f>IFERROR(__xludf.DUMMYFUNCTION("""COMPUTED_VALUE"""),"Christiawan Hendratmoko")</f>
        <v>Christiawan Hendratmoko</v>
      </c>
      <c r="K670" s="6"/>
      <c r="L670" s="6"/>
      <c r="M670" s="6"/>
      <c r="N670" s="6"/>
      <c r="O670" s="6"/>
      <c r="P670" s="10" t="str">
        <f>IFERROR(__xludf.DUMMYFUNCTION("""COMPUTED_VALUE"""),"Rofan Dwi Sulistyo, Christiawan Hendratmoko")</f>
        <v>Rofan Dwi Sulistyo, Christiawan Hendratmoko</v>
      </c>
      <c r="Q670" s="11" t="str">
        <f>IFERROR(__xludf.DUMMYFUNCTION("""COMPUTED_VALUE"""),"https://ejournal.undip.ac.id/index.php/jspi/article/view/53273")</f>
        <v>https://ejournal.undip.ac.id/index.php/jspi/article/view/53273</v>
      </c>
      <c r="R670" s="6"/>
    </row>
    <row r="671">
      <c r="A671" s="5">
        <f>IFERROR(__xludf.DUMMYFUNCTION("""COMPUTED_VALUE"""),670.0)</f>
        <v>670</v>
      </c>
      <c r="B671" s="6" t="str">
        <f>IFERROR(__xludf.DUMMYFUNCTION("""COMPUTED_VALUE"""),"Faktor-Faktor Yang Mempengaruhi Pendapatan Driver Gojek Di Masa Pandemi Covid-19 Di Solo")</f>
        <v>Faktor-Faktor Yang Mempengaruhi Pendapatan Driver Gojek Di Masa Pandemi Covid-19 Di Solo</v>
      </c>
      <c r="C671" s="7">
        <f>IFERROR(__xludf.DUMMYFUNCTION("""COMPUTED_VALUE"""),2023.0)</f>
        <v>2023</v>
      </c>
      <c r="D671" s="8" t="str">
        <f>IFERROR(__xludf.DUMMYFUNCTION("""COMPUTED_VALUE"""),"2023/2024")</f>
        <v>2023/2024</v>
      </c>
      <c r="E671" s="9">
        <f>IFERROR(__xludf.DUMMYFUNCTION("""COMPUTED_VALUE"""),45178.0)</f>
        <v>45178</v>
      </c>
      <c r="F671" s="5" t="str">
        <f>IFERROR(__xludf.DUMMYFUNCTION("""COMPUTED_VALUE"""),"Ganjil")</f>
        <v>Ganjil</v>
      </c>
      <c r="G671" s="5" t="str">
        <f>IFERROR(__xludf.DUMMYFUNCTION("""COMPUTED_VALUE"""),"Manajemen")</f>
        <v>Manajemen</v>
      </c>
      <c r="H671" s="10" t="str">
        <f>IFERROR(__xludf.DUMMYFUNCTION("""COMPUTED_VALUE"""),"Mahasiswa")</f>
        <v>Mahasiswa</v>
      </c>
      <c r="I671" s="6" t="str">
        <f>IFERROR(__xludf.DUMMYFUNCTION("""COMPUTED_VALUE"""),"Ryan Wibowo")</f>
        <v>Ryan Wibowo</v>
      </c>
      <c r="J671" s="6" t="str">
        <f>IFERROR(__xludf.DUMMYFUNCTION("""COMPUTED_VALUE"""),"Christiawan Hendratmoko")</f>
        <v>Christiawan Hendratmoko</v>
      </c>
      <c r="K671" s="6"/>
      <c r="L671" s="6"/>
      <c r="M671" s="6"/>
      <c r="N671" s="6"/>
      <c r="O671" s="6"/>
      <c r="P671" s="10" t="str">
        <f>IFERROR(__xludf.DUMMYFUNCTION("""COMPUTED_VALUE"""),"Ryan Wibowo, Christiawan Hendratmoko")</f>
        <v>Ryan Wibowo, Christiawan Hendratmoko</v>
      </c>
      <c r="Q671" s="11" t="str">
        <f>IFERROR(__xludf.DUMMYFUNCTION("""COMPUTED_VALUE"""),"https://jurnal.kolibi.org/index.php/neraca/article/view/36")</f>
        <v>https://jurnal.kolibi.org/index.php/neraca/article/view/36</v>
      </c>
      <c r="R671" s="6"/>
    </row>
    <row r="672">
      <c r="A672" s="5">
        <f>IFERROR(__xludf.DUMMYFUNCTION("""COMPUTED_VALUE"""),671.0)</f>
        <v>671</v>
      </c>
      <c r="B672" s="6" t="str">
        <f>IFERROR(__xludf.DUMMYFUNCTION("""COMPUTED_VALUE"""),"Minat Beli International Fashion Brand Di Indonesia")</f>
        <v>Minat Beli International Fashion Brand Di Indonesia</v>
      </c>
      <c r="C672" s="7">
        <f>IFERROR(__xludf.DUMMYFUNCTION("""COMPUTED_VALUE"""),2023.0)</f>
        <v>2023</v>
      </c>
      <c r="D672" s="8" t="str">
        <f>IFERROR(__xludf.DUMMYFUNCTION("""COMPUTED_VALUE"""),"2023/2024")</f>
        <v>2023/2024</v>
      </c>
      <c r="E672" s="9">
        <f>IFERROR(__xludf.DUMMYFUNCTION("""COMPUTED_VALUE"""),45179.0)</f>
        <v>45179</v>
      </c>
      <c r="F672" s="5" t="str">
        <f>IFERROR(__xludf.DUMMYFUNCTION("""COMPUTED_VALUE"""),"Ganjil")</f>
        <v>Ganjil</v>
      </c>
      <c r="G672" s="5" t="str">
        <f>IFERROR(__xludf.DUMMYFUNCTION("""COMPUTED_VALUE"""),"Manajemen")</f>
        <v>Manajemen</v>
      </c>
      <c r="H672" s="10" t="str">
        <f>IFERROR(__xludf.DUMMYFUNCTION("""COMPUTED_VALUE"""),"Mahasiswa")</f>
        <v>Mahasiswa</v>
      </c>
      <c r="I672" s="6" t="str">
        <f>IFERROR(__xludf.DUMMYFUNCTION("""COMPUTED_VALUE"""),"Ineke Oktaviana")</f>
        <v>Ineke Oktaviana</v>
      </c>
      <c r="J672" s="6" t="str">
        <f>IFERROR(__xludf.DUMMYFUNCTION("""COMPUTED_VALUE"""),"Ginanjar Rahmawan")</f>
        <v>Ginanjar Rahmawan</v>
      </c>
      <c r="K672" s="6"/>
      <c r="L672" s="6"/>
      <c r="M672" s="6"/>
      <c r="N672" s="6"/>
      <c r="O672" s="6"/>
      <c r="P672" s="10" t="str">
        <f>IFERROR(__xludf.DUMMYFUNCTION("""COMPUTED_VALUE"""),"Ineke Oktaviana, Ginanjar Rahmawan")</f>
        <v>Ineke Oktaviana, Ginanjar Rahmawan</v>
      </c>
      <c r="Q672" s="11" t="str">
        <f>IFERROR(__xludf.DUMMYFUNCTION("""COMPUTED_VALUE"""),"https://ejournal-polnam.ac.id/index.php/JurnalManeksi/article/view/1662")</f>
        <v>https://ejournal-polnam.ac.id/index.php/JurnalManeksi/article/view/1662</v>
      </c>
      <c r="R672" s="6"/>
    </row>
    <row r="673">
      <c r="A673" s="5">
        <f>IFERROR(__xludf.DUMMYFUNCTION("""COMPUTED_VALUE"""),672.0)</f>
        <v>672</v>
      </c>
      <c r="B673" s="6" t="str">
        <f>IFERROR(__xludf.DUMMYFUNCTION("""COMPUTED_VALUE"""),"Implementation of Maqashid Syari'ah Asy Syathibi in Operational Performance Measurement KSPPS BMT Syari'ah Mandiri Ampel")</f>
        <v>Implementation of Maqashid Syari'ah Asy Syathibi in Operational Performance Measurement KSPPS BMT Syari'ah Mandiri Ampel</v>
      </c>
      <c r="C673" s="7">
        <f>IFERROR(__xludf.DUMMYFUNCTION("""COMPUTED_VALUE"""),2023.0)</f>
        <v>2023</v>
      </c>
      <c r="D673" s="8" t="str">
        <f>IFERROR(__xludf.DUMMYFUNCTION("""COMPUTED_VALUE"""),"2023/2024")</f>
        <v>2023/2024</v>
      </c>
      <c r="E673" s="9">
        <f>IFERROR(__xludf.DUMMYFUNCTION("""COMPUTED_VALUE"""),45179.0)</f>
        <v>45179</v>
      </c>
      <c r="F673" s="5" t="str">
        <f>IFERROR(__xludf.DUMMYFUNCTION("""COMPUTED_VALUE"""),"Ganjil")</f>
        <v>Ganjil</v>
      </c>
      <c r="G673" s="5" t="str">
        <f>IFERROR(__xludf.DUMMYFUNCTION("""COMPUTED_VALUE"""),"Akuntansi")</f>
        <v>Akuntansi</v>
      </c>
      <c r="H673" s="10" t="str">
        <f>IFERROR(__xludf.DUMMYFUNCTION("""COMPUTED_VALUE"""),"Dosen")</f>
        <v>Dosen</v>
      </c>
      <c r="I673" s="6" t="str">
        <f>IFERROR(__xludf.DUMMYFUNCTION("""COMPUTED_VALUE"""),"Arif Nugroho Rachman")</f>
        <v>Arif Nugroho Rachman</v>
      </c>
      <c r="J673" s="6" t="str">
        <f>IFERROR(__xludf.DUMMYFUNCTION("""COMPUTED_VALUE"""),"Fatchan Achyani")</f>
        <v>Fatchan Achyani</v>
      </c>
      <c r="K673" s="6" t="str">
        <f>IFERROR(__xludf.DUMMYFUNCTION("""COMPUTED_VALUE"""),"Erma Setiawati")</f>
        <v>Erma Setiawati</v>
      </c>
      <c r="L673" s="6"/>
      <c r="M673" s="6"/>
      <c r="N673" s="6"/>
      <c r="O673" s="6"/>
      <c r="P673" s="10"/>
      <c r="Q673" s="11" t="str">
        <f>IFERROR(__xludf.DUMMYFUNCTION("""COMPUTED_VALUE"""),"https://theijbmt.com/arc953.php")</f>
        <v>https://theijbmt.com/arc953.php</v>
      </c>
      <c r="R673" s="11" t="str">
        <f>IFERROR(__xludf.DUMMYFUNCTION("""COMPUTED_VALUE"""),"https://www.theijbmt.com/archive/0953/261345409.pdf")</f>
        <v>https://www.theijbmt.com/archive/0953/261345409.pdf</v>
      </c>
    </row>
    <row r="674">
      <c r="A674" s="5">
        <f>IFERROR(__xludf.DUMMYFUNCTION("""COMPUTED_VALUE"""),673.0)</f>
        <v>673</v>
      </c>
      <c r="B674" s="6" t="str">
        <f>IFERROR(__xludf.DUMMYFUNCTION("""COMPUTED_VALUE"""),"Brand Awareness, Brand Loyalty, Brand Association, Dan Perceived Quality Terhadap Customer Loyalty Layanan Mobile Banking M-Bca")</f>
        <v>Brand Awareness, Brand Loyalty, Brand Association, Dan Perceived Quality Terhadap Customer Loyalty Layanan Mobile Banking M-Bca</v>
      </c>
      <c r="C674" s="7">
        <f>IFERROR(__xludf.DUMMYFUNCTION("""COMPUTED_VALUE"""),2023.0)</f>
        <v>2023</v>
      </c>
      <c r="D674" s="8" t="str">
        <f>IFERROR(__xludf.DUMMYFUNCTION("""COMPUTED_VALUE"""),"2023/2024")</f>
        <v>2023/2024</v>
      </c>
      <c r="E674" s="9">
        <f>IFERROR(__xludf.DUMMYFUNCTION("""COMPUTED_VALUE"""),45181.0)</f>
        <v>45181</v>
      </c>
      <c r="F674" s="5" t="str">
        <f>IFERROR(__xludf.DUMMYFUNCTION("""COMPUTED_VALUE"""),"Ganjil")</f>
        <v>Ganjil</v>
      </c>
      <c r="G674" s="5" t="str">
        <f>IFERROR(__xludf.DUMMYFUNCTION("""COMPUTED_VALUE"""),"Manajemen")</f>
        <v>Manajemen</v>
      </c>
      <c r="H674" s="10" t="str">
        <f>IFERROR(__xludf.DUMMYFUNCTION("""COMPUTED_VALUE"""),"Mahasiswa")</f>
        <v>Mahasiswa</v>
      </c>
      <c r="I674" s="6" t="str">
        <f>IFERROR(__xludf.DUMMYFUNCTION("""COMPUTED_VALUE"""),"Sintara Kunfahmi Padmawati")</f>
        <v>Sintara Kunfahmi Padmawati</v>
      </c>
      <c r="J674" s="6" t="str">
        <f>IFERROR(__xludf.DUMMYFUNCTION("""COMPUTED_VALUE"""),"Ari Susanti")</f>
        <v>Ari Susanti</v>
      </c>
      <c r="K674" s="6"/>
      <c r="L674" s="6"/>
      <c r="M674" s="6"/>
      <c r="N674" s="6"/>
      <c r="O674" s="6"/>
      <c r="P674" s="10" t="str">
        <f>IFERROR(__xludf.DUMMYFUNCTION("""COMPUTED_VALUE"""),"Sintara Kunfahmi Padmawati, Ari Susanti")</f>
        <v>Sintara Kunfahmi Padmawati, Ari Susanti</v>
      </c>
      <c r="Q674" s="11" t="str">
        <f>IFERROR(__xludf.DUMMYFUNCTION("""COMPUTED_VALUE"""),"https://plj.ac.id/ojs/index.php/jrlab/article/view/804")</f>
        <v>https://plj.ac.id/ojs/index.php/jrlab/article/view/804</v>
      </c>
      <c r="R674" s="6"/>
    </row>
    <row r="675">
      <c r="A675" s="5">
        <f>IFERROR(__xludf.DUMMYFUNCTION("""COMPUTED_VALUE"""),674.0)</f>
        <v>674</v>
      </c>
      <c r="B675" s="6" t="str">
        <f>IFERROR(__xludf.DUMMYFUNCTION("""COMPUTED_VALUE"""),"Faktor-Faktor Yang Mempengaruhi Volume Perdagangan Saham Perusahaan Sektor Farmasi Di Bei")</f>
        <v>Faktor-Faktor Yang Mempengaruhi Volume Perdagangan Saham Perusahaan Sektor Farmasi Di Bei</v>
      </c>
      <c r="C675" s="7">
        <f>IFERROR(__xludf.DUMMYFUNCTION("""COMPUTED_VALUE"""),2023.0)</f>
        <v>2023</v>
      </c>
      <c r="D675" s="8" t="str">
        <f>IFERROR(__xludf.DUMMYFUNCTION("""COMPUTED_VALUE"""),"2023/2024")</f>
        <v>2023/2024</v>
      </c>
      <c r="E675" s="9">
        <f>IFERROR(__xludf.DUMMYFUNCTION("""COMPUTED_VALUE"""),45184.0)</f>
        <v>45184</v>
      </c>
      <c r="F675" s="5" t="str">
        <f>IFERROR(__xludf.DUMMYFUNCTION("""COMPUTED_VALUE"""),"Ganjil")</f>
        <v>Ganjil</v>
      </c>
      <c r="G675" s="5" t="str">
        <f>IFERROR(__xludf.DUMMYFUNCTION("""COMPUTED_VALUE"""),"Akuntansi")</f>
        <v>Akuntansi</v>
      </c>
      <c r="H675" s="10" t="str">
        <f>IFERROR(__xludf.DUMMYFUNCTION("""COMPUTED_VALUE"""),"Mahasiswa")</f>
        <v>Mahasiswa</v>
      </c>
      <c r="I675" s="6" t="str">
        <f>IFERROR(__xludf.DUMMYFUNCTION("""COMPUTED_VALUE"""),"Dewi Septi Ani")</f>
        <v>Dewi Septi Ani</v>
      </c>
      <c r="J675" s="6" t="str">
        <f>IFERROR(__xludf.DUMMYFUNCTION("""COMPUTED_VALUE"""),"Arif Nugroho Rachman")</f>
        <v>Arif Nugroho Rachman</v>
      </c>
      <c r="K675" s="6"/>
      <c r="L675" s="6"/>
      <c r="M675" s="6"/>
      <c r="N675" s="6"/>
      <c r="O675" s="6"/>
      <c r="P675" s="10" t="str">
        <f>IFERROR(__xludf.DUMMYFUNCTION("""COMPUTED_VALUE"""),"Dewi Septi Ani, Arif Nugroho Rachman")</f>
        <v>Dewi Septi Ani, Arif Nugroho Rachman</v>
      </c>
      <c r="Q675" s="11" t="str">
        <f>IFERROR(__xludf.DUMMYFUNCTION("""COMPUTED_VALUE"""),"https://ejournal.nusantaraglobal.ac.id/index.php/sentri/article/view/1547")</f>
        <v>https://ejournal.nusantaraglobal.ac.id/index.php/sentri/article/view/1547</v>
      </c>
      <c r="R675" s="6"/>
    </row>
    <row r="676">
      <c r="A676" s="5">
        <f>IFERROR(__xludf.DUMMYFUNCTION("""COMPUTED_VALUE"""),675.0)</f>
        <v>675</v>
      </c>
      <c r="B676" s="6" t="str">
        <f>IFERROR(__xludf.DUMMYFUNCTION("""COMPUTED_VALUE"""),"Apa yang Mempengaruhi Pendapatan Pedagang di Tempat Wisata (Studi Kasus pada Wisata di Kecamatan Polanharjo)")</f>
        <v>Apa yang Mempengaruhi Pendapatan Pedagang di Tempat Wisata (Studi Kasus pada Wisata di Kecamatan Polanharjo)</v>
      </c>
      <c r="C676" s="7">
        <f>IFERROR(__xludf.DUMMYFUNCTION("""COMPUTED_VALUE"""),2023.0)</f>
        <v>2023</v>
      </c>
      <c r="D676" s="8" t="str">
        <f>IFERROR(__xludf.DUMMYFUNCTION("""COMPUTED_VALUE"""),"2023/2024")</f>
        <v>2023/2024</v>
      </c>
      <c r="E676" s="9">
        <f>IFERROR(__xludf.DUMMYFUNCTION("""COMPUTED_VALUE"""),45191.0)</f>
        <v>45191</v>
      </c>
      <c r="F676" s="5" t="str">
        <f>IFERROR(__xludf.DUMMYFUNCTION("""COMPUTED_VALUE"""),"Ganjil")</f>
        <v>Ganjil</v>
      </c>
      <c r="G676" s="5" t="str">
        <f>IFERROR(__xludf.DUMMYFUNCTION("""COMPUTED_VALUE"""),"Akuntansi")</f>
        <v>Akuntansi</v>
      </c>
      <c r="H676" s="10" t="str">
        <f>IFERROR(__xludf.DUMMYFUNCTION("""COMPUTED_VALUE"""),"Mahasiswa")</f>
        <v>Mahasiswa</v>
      </c>
      <c r="I676" s="6" t="str">
        <f>IFERROR(__xludf.DUMMYFUNCTION("""COMPUTED_VALUE"""),"Meita Yulisma Wardani")</f>
        <v>Meita Yulisma Wardani</v>
      </c>
      <c r="J676" s="6" t="str">
        <f>IFERROR(__xludf.DUMMYFUNCTION("""COMPUTED_VALUE"""),"Arif Farida")</f>
        <v>Arif Farida</v>
      </c>
      <c r="K676" s="6"/>
      <c r="L676" s="6"/>
      <c r="M676" s="6"/>
      <c r="N676" s="6"/>
      <c r="O676" s="6"/>
      <c r="P676" s="10" t="str">
        <f>IFERROR(__xludf.DUMMYFUNCTION("""COMPUTED_VALUE"""),"Meita Yulisma Wardani, Arif Farida")</f>
        <v>Meita Yulisma Wardani, Arif Farida</v>
      </c>
      <c r="Q676" s="11" t="str">
        <f>IFERROR(__xludf.DUMMYFUNCTION("""COMPUTED_VALUE"""),"https://ejurnal.kampusakademik.co.id/index.php/jirs/article/view/10")</f>
        <v>https://ejurnal.kampusakademik.co.id/index.php/jirs/article/view/10</v>
      </c>
      <c r="R676" s="6"/>
    </row>
    <row r="677">
      <c r="A677" s="5">
        <f>IFERROR(__xludf.DUMMYFUNCTION("""COMPUTED_VALUE"""),676.0)</f>
        <v>676</v>
      </c>
      <c r="B677" s="6" t="str">
        <f>IFERROR(__xludf.DUMMYFUNCTION("""COMPUTED_VALUE"""),"Pengaruh Penurunan Omzet Pedagang Kaki Lima Di Masa Pandemi Covid-19 Di Pasar Gedhe Solo")</f>
        <v>Pengaruh Penurunan Omzet Pedagang Kaki Lima Di Masa Pandemi Covid-19 Di Pasar Gedhe Solo</v>
      </c>
      <c r="C677" s="7">
        <f>IFERROR(__xludf.DUMMYFUNCTION("""COMPUTED_VALUE"""),2023.0)</f>
        <v>2023</v>
      </c>
      <c r="D677" s="8" t="str">
        <f>IFERROR(__xludf.DUMMYFUNCTION("""COMPUTED_VALUE"""),"2023/2024")</f>
        <v>2023/2024</v>
      </c>
      <c r="E677" s="9">
        <f>IFERROR(__xludf.DUMMYFUNCTION("""COMPUTED_VALUE"""),45194.0)</f>
        <v>45194</v>
      </c>
      <c r="F677" s="5" t="str">
        <f>IFERROR(__xludf.DUMMYFUNCTION("""COMPUTED_VALUE"""),"Ganjil")</f>
        <v>Ganjil</v>
      </c>
      <c r="G677" s="5" t="str">
        <f>IFERROR(__xludf.DUMMYFUNCTION("""COMPUTED_VALUE"""),"Manajemen")</f>
        <v>Manajemen</v>
      </c>
      <c r="H677" s="10" t="str">
        <f>IFERROR(__xludf.DUMMYFUNCTION("""COMPUTED_VALUE"""),"Mahasiswa")</f>
        <v>Mahasiswa</v>
      </c>
      <c r="I677" s="6" t="str">
        <f>IFERROR(__xludf.DUMMYFUNCTION("""COMPUTED_VALUE"""),"Brilian Agung Nugroho")</f>
        <v>Brilian Agung Nugroho</v>
      </c>
      <c r="J677" s="6" t="str">
        <f>IFERROR(__xludf.DUMMYFUNCTION("""COMPUTED_VALUE"""),"Muhammad Jalari")</f>
        <v>Muhammad Jalari</v>
      </c>
      <c r="K677" s="6"/>
      <c r="L677" s="6"/>
      <c r="M677" s="6"/>
      <c r="N677" s="6"/>
      <c r="O677" s="6"/>
      <c r="P677" s="10" t="str">
        <f>IFERROR(__xludf.DUMMYFUNCTION("""COMPUTED_VALUE"""),"Brilian Agung Nugroho, Muhammad Jalari")</f>
        <v>Brilian Agung Nugroho, Muhammad Jalari</v>
      </c>
      <c r="Q677" s="11" t="str">
        <f>IFERROR(__xludf.DUMMYFUNCTION("""COMPUTED_VALUE"""),"https://bajangjournal.com/index.php/JCI/article/view/6523")</f>
        <v>https://bajangjournal.com/index.php/JCI/article/view/6523</v>
      </c>
      <c r="R677" s="6"/>
    </row>
    <row r="678">
      <c r="A678" s="5">
        <f>IFERROR(__xludf.DUMMYFUNCTION("""COMPUTED_VALUE"""),677.0)</f>
        <v>677</v>
      </c>
      <c r="B678" s="6" t="str">
        <f>IFERROR(__xludf.DUMMYFUNCTION("""COMPUTED_VALUE"""),"Analisis Faktor Yang Mempengaruhi Keputusan Seseorang Menjadi Sport Photographer")</f>
        <v>Analisis Faktor Yang Mempengaruhi Keputusan Seseorang Menjadi Sport Photographer</v>
      </c>
      <c r="C678" s="7">
        <f>IFERROR(__xludf.DUMMYFUNCTION("""COMPUTED_VALUE"""),2023.0)</f>
        <v>2023</v>
      </c>
      <c r="D678" s="8" t="str">
        <f>IFERROR(__xludf.DUMMYFUNCTION("""COMPUTED_VALUE"""),"2023/2024")</f>
        <v>2023/2024</v>
      </c>
      <c r="E678" s="9">
        <f>IFERROR(__xludf.DUMMYFUNCTION("""COMPUTED_VALUE"""),45198.0)</f>
        <v>45198</v>
      </c>
      <c r="F678" s="5" t="str">
        <f>IFERROR(__xludf.DUMMYFUNCTION("""COMPUTED_VALUE"""),"Ganjil")</f>
        <v>Ganjil</v>
      </c>
      <c r="G678" s="5" t="str">
        <f>IFERROR(__xludf.DUMMYFUNCTION("""COMPUTED_VALUE"""),"Manajemen")</f>
        <v>Manajemen</v>
      </c>
      <c r="H678" s="10" t="str">
        <f>IFERROR(__xludf.DUMMYFUNCTION("""COMPUTED_VALUE"""),"Mahasiswa")</f>
        <v>Mahasiswa</v>
      </c>
      <c r="I678" s="6" t="str">
        <f>IFERROR(__xludf.DUMMYFUNCTION("""COMPUTED_VALUE"""),"Ananda Rafli Akbar Susanto")</f>
        <v>Ananda Rafli Akbar Susanto</v>
      </c>
      <c r="J678" s="6" t="str">
        <f>IFERROR(__xludf.DUMMYFUNCTION("""COMPUTED_VALUE"""),"Ginanjar Rahmawan")</f>
        <v>Ginanjar Rahmawan</v>
      </c>
      <c r="K678" s="6"/>
      <c r="L678" s="6"/>
      <c r="M678" s="6"/>
      <c r="N678" s="6"/>
      <c r="O678" s="6"/>
      <c r="P678" s="10" t="str">
        <f>IFERROR(__xludf.DUMMYFUNCTION("""COMPUTED_VALUE"""),"Ananda Rafli Akbar Susanto, Ginanjar Rahmawan")</f>
        <v>Ananda Rafli Akbar Susanto, Ginanjar Rahmawan</v>
      </c>
      <c r="Q678" s="11" t="str">
        <f>IFERROR(__xludf.DUMMYFUNCTION("""COMPUTED_VALUE"""),"https://ukitoraja.id/index.php/jumek/article/view/236")</f>
        <v>https://ukitoraja.id/index.php/jumek/article/view/236</v>
      </c>
      <c r="R678" s="6"/>
    </row>
    <row r="679">
      <c r="A679" s="5">
        <f>IFERROR(__xludf.DUMMYFUNCTION("""COMPUTED_VALUE"""),678.0)</f>
        <v>678</v>
      </c>
      <c r="B679" s="6" t="str">
        <f>IFERROR(__xludf.DUMMYFUNCTION("""COMPUTED_VALUE"""),"Pengaruh kepercayaan, kemudahan, brand image, dan kualitas informasi terhadap keputusan pembelian pada pengguna e-commerce shopee (studi kasus pada pengguna aplikasi shopee di Kota Sukoharjo)")</f>
        <v>Pengaruh kepercayaan, kemudahan, brand image, dan kualitas informasi terhadap keputusan pembelian pada pengguna e-commerce shopee (studi kasus pada pengguna aplikasi shopee di Kota Sukoharjo)</v>
      </c>
      <c r="C679" s="7">
        <f>IFERROR(__xludf.DUMMYFUNCTION("""COMPUTED_VALUE"""),2023.0)</f>
        <v>2023</v>
      </c>
      <c r="D679" s="8" t="str">
        <f>IFERROR(__xludf.DUMMYFUNCTION("""COMPUTED_VALUE"""),"2023/2024")</f>
        <v>2023/2024</v>
      </c>
      <c r="E679" s="9">
        <f>IFERROR(__xludf.DUMMYFUNCTION("""COMPUTED_VALUE"""),45199.0)</f>
        <v>45199</v>
      </c>
      <c r="F679" s="5" t="str">
        <f>IFERROR(__xludf.DUMMYFUNCTION("""COMPUTED_VALUE"""),"Ganjil")</f>
        <v>Ganjil</v>
      </c>
      <c r="G679" s="5" t="str">
        <f>IFERROR(__xludf.DUMMYFUNCTION("""COMPUTED_VALUE"""),"Manajemen")</f>
        <v>Manajemen</v>
      </c>
      <c r="H679" s="10" t="str">
        <f>IFERROR(__xludf.DUMMYFUNCTION("""COMPUTED_VALUE"""),"Mahasiswa")</f>
        <v>Mahasiswa</v>
      </c>
      <c r="I679" s="6" t="str">
        <f>IFERROR(__xludf.DUMMYFUNCTION("""COMPUTED_VALUE"""),"Ana Dewi Marsalin")</f>
        <v>Ana Dewi Marsalin</v>
      </c>
      <c r="J679" s="6" t="str">
        <f>IFERROR(__xludf.DUMMYFUNCTION("""COMPUTED_VALUE"""),"Christiawan Hendratmoko")</f>
        <v>Christiawan Hendratmoko</v>
      </c>
      <c r="K679" s="6"/>
      <c r="L679" s="6"/>
      <c r="M679" s="6"/>
      <c r="N679" s="6"/>
      <c r="O679" s="6"/>
      <c r="P679" s="10" t="str">
        <f>IFERROR(__xludf.DUMMYFUNCTION("""COMPUTED_VALUE"""),"Ana Dewi Marsalin, Christiawan Hendratmoko")</f>
        <v>Ana Dewi Marsalin, Christiawan Hendratmoko</v>
      </c>
      <c r="Q679" s="11" t="str">
        <f>IFERROR(__xludf.DUMMYFUNCTION("""COMPUTED_VALUE"""),"https://ejurnal.stie-trianandra.ac.id/index.php/jubima/article/view/1870")</f>
        <v>https://ejurnal.stie-trianandra.ac.id/index.php/jubima/article/view/1870</v>
      </c>
      <c r="R679" s="6"/>
    </row>
    <row r="680">
      <c r="A680" s="5">
        <f>IFERROR(__xludf.DUMMYFUNCTION("""COMPUTED_VALUE"""),679.0)</f>
        <v>679</v>
      </c>
      <c r="B680" s="6" t="str">
        <f>IFERROR(__xludf.DUMMYFUNCTION("""COMPUTED_VALUE"""),"Pengaruh Penggunaan E-money, Gaya Hidup, Pengendalian Diri Terhadap Perilaku Konsumtif Mahasiswa STIE surakarta")</f>
        <v>Pengaruh Penggunaan E-money, Gaya Hidup, Pengendalian Diri Terhadap Perilaku Konsumtif Mahasiswa STIE surakarta</v>
      </c>
      <c r="C680" s="7">
        <f>IFERROR(__xludf.DUMMYFUNCTION("""COMPUTED_VALUE"""),2023.0)</f>
        <v>2023</v>
      </c>
      <c r="D680" s="8" t="str">
        <f>IFERROR(__xludf.DUMMYFUNCTION("""COMPUTED_VALUE"""),"2022/2023")</f>
        <v>2022/2023</v>
      </c>
      <c r="E680" s="9">
        <f>IFERROR(__xludf.DUMMYFUNCTION("""COMPUTED_VALUE"""),45083.0)</f>
        <v>45083</v>
      </c>
      <c r="F680" s="5" t="str">
        <f>IFERROR(__xludf.DUMMYFUNCTION("""COMPUTED_VALUE"""),"Genap")</f>
        <v>Genap</v>
      </c>
      <c r="G680" s="5" t="str">
        <f>IFERROR(__xludf.DUMMYFUNCTION("""COMPUTED_VALUE"""),"Manajemen")</f>
        <v>Manajemen</v>
      </c>
      <c r="H680" s="10" t="str">
        <f>IFERROR(__xludf.DUMMYFUNCTION("""COMPUTED_VALUE"""),"Mahasiswa")</f>
        <v>Mahasiswa</v>
      </c>
      <c r="I680" s="6" t="str">
        <f>IFERROR(__xludf.DUMMYFUNCTION("""COMPUTED_VALUE"""),"Nola Arum Indah Ashari")</f>
        <v>Nola Arum Indah Ashari</v>
      </c>
      <c r="J680" s="6" t="str">
        <f>IFERROR(__xludf.DUMMYFUNCTION("""COMPUTED_VALUE"""),"Ida Ayu Kade")</f>
        <v>Ida Ayu Kade</v>
      </c>
      <c r="K680" s="6"/>
      <c r="L680" s="6"/>
      <c r="M680" s="6"/>
      <c r="N680" s="6"/>
      <c r="O680" s="6"/>
      <c r="P680" s="10" t="str">
        <f>IFERROR(__xludf.DUMMYFUNCTION("""COMPUTED_VALUE"""),"Nola Arum Indah Ashari, Ida Ayu Kade")</f>
        <v>Nola Arum Indah Ashari, Ida Ayu Kade</v>
      </c>
      <c r="Q680" s="11" t="str">
        <f>IFERROR(__xludf.DUMMYFUNCTION("""COMPUTED_VALUE"""),"https://ojs.cahayamandalika.com/index.php/jtm/article/view/1632")</f>
        <v>https://ojs.cahayamandalika.com/index.php/jtm/article/view/1632</v>
      </c>
      <c r="R680" s="6"/>
    </row>
    <row r="681">
      <c r="A681" s="5">
        <f>IFERROR(__xludf.DUMMYFUNCTION("""COMPUTED_VALUE"""),680.0)</f>
        <v>680</v>
      </c>
      <c r="B681" s="6" t="str">
        <f>IFERROR(__xludf.DUMMYFUNCTION("""COMPUTED_VALUE"""),"Karakteristik Perusahaan Terhadap Tax Avoidance Perusahaan Real Estate")</f>
        <v>Karakteristik Perusahaan Terhadap Tax Avoidance Perusahaan Real Estate</v>
      </c>
      <c r="C681" s="7">
        <f>IFERROR(__xludf.DUMMYFUNCTION("""COMPUTED_VALUE"""),2023.0)</f>
        <v>2023</v>
      </c>
      <c r="D681" s="8" t="str">
        <f>IFERROR(__xludf.DUMMYFUNCTION("""COMPUTED_VALUE"""),"2023/2024")</f>
        <v>2023/2024</v>
      </c>
      <c r="E681" s="9">
        <f>IFERROR(__xludf.DUMMYFUNCTION("""COMPUTED_VALUE"""),45202.0)</f>
        <v>45202</v>
      </c>
      <c r="F681" s="5" t="str">
        <f>IFERROR(__xludf.DUMMYFUNCTION("""COMPUTED_VALUE"""),"Ganjil")</f>
        <v>Ganjil</v>
      </c>
      <c r="G681" s="5" t="str">
        <f>IFERROR(__xludf.DUMMYFUNCTION("""COMPUTED_VALUE"""),"Akuntansi")</f>
        <v>Akuntansi</v>
      </c>
      <c r="H681" s="10" t="str">
        <f>IFERROR(__xludf.DUMMYFUNCTION("""COMPUTED_VALUE"""),"Mahasiswa")</f>
        <v>Mahasiswa</v>
      </c>
      <c r="I681" s="6" t="str">
        <f>IFERROR(__xludf.DUMMYFUNCTION("""COMPUTED_VALUE"""),"Oktavia Fara Sherly Indrasafitri")</f>
        <v>Oktavia Fara Sherly Indrasafitri</v>
      </c>
      <c r="J681" s="6" t="str">
        <f>IFERROR(__xludf.DUMMYFUNCTION("""COMPUTED_VALUE"""),"Arif Nugroho Rachman")</f>
        <v>Arif Nugroho Rachman</v>
      </c>
      <c r="K681" s="6"/>
      <c r="L681" s="6"/>
      <c r="M681" s="6"/>
      <c r="N681" s="6"/>
      <c r="O681" s="6"/>
      <c r="P681" s="10" t="str">
        <f>IFERROR(__xludf.DUMMYFUNCTION("""COMPUTED_VALUE"""),"Oktavia Fara Sherly Indrasafitri, Arif Nugroho Rachman")</f>
        <v>Oktavia Fara Sherly Indrasafitri, Arif Nugroho Rachman</v>
      </c>
      <c r="Q681" s="11" t="str">
        <f>IFERROR(__xludf.DUMMYFUNCTION("""COMPUTED_VALUE"""),"https://ejurnal.kampusakademik.co.id/index.php/jiem/article/view/41/37")</f>
        <v>https://ejurnal.kampusakademik.co.id/index.php/jiem/article/view/41/37</v>
      </c>
      <c r="R681" s="6"/>
    </row>
    <row r="682">
      <c r="A682" s="5">
        <f>IFERROR(__xludf.DUMMYFUNCTION("""COMPUTED_VALUE"""),681.0)</f>
        <v>681</v>
      </c>
      <c r="B682" s="6" t="str">
        <f>IFERROR(__xludf.DUMMYFUNCTION("""COMPUTED_VALUE"""),"FAKTOR-FAKTOR YANG MEMPENGARUHI KETEPATAN WAKTU PENYAMPAIAN LAPORAN KEUANGAN PADA PERUSAHAAN FOOD AND BEVERAGE DI BEI")</f>
        <v>FAKTOR-FAKTOR YANG MEMPENGARUHI KETEPATAN WAKTU PENYAMPAIAN LAPORAN KEUANGAN PADA PERUSAHAAN FOOD AND BEVERAGE DI BEI</v>
      </c>
      <c r="C682" s="7">
        <f>IFERROR(__xludf.DUMMYFUNCTION("""COMPUTED_VALUE"""),2023.0)</f>
        <v>2023</v>
      </c>
      <c r="D682" s="8" t="str">
        <f>IFERROR(__xludf.DUMMYFUNCTION("""COMPUTED_VALUE"""),"2023/2024")</f>
        <v>2023/2024</v>
      </c>
      <c r="E682" s="9">
        <f>IFERROR(__xludf.DUMMYFUNCTION("""COMPUTED_VALUE"""),45209.0)</f>
        <v>45209</v>
      </c>
      <c r="F682" s="5" t="str">
        <f>IFERROR(__xludf.DUMMYFUNCTION("""COMPUTED_VALUE"""),"Ganjil")</f>
        <v>Ganjil</v>
      </c>
      <c r="G682" s="5" t="str">
        <f>IFERROR(__xludf.DUMMYFUNCTION("""COMPUTED_VALUE"""),"Akuntansi")</f>
        <v>Akuntansi</v>
      </c>
      <c r="H682" s="10" t="str">
        <f>IFERROR(__xludf.DUMMYFUNCTION("""COMPUTED_VALUE"""),"Mahasiswa")</f>
        <v>Mahasiswa</v>
      </c>
      <c r="I682" s="6" t="str">
        <f>IFERROR(__xludf.DUMMYFUNCTION("""COMPUTED_VALUE"""),"Nurul Aini")</f>
        <v>Nurul Aini</v>
      </c>
      <c r="J682" s="6" t="str">
        <f>IFERROR(__xludf.DUMMYFUNCTION("""COMPUTED_VALUE"""),"Nur Kholis")</f>
        <v>Nur Kholis</v>
      </c>
      <c r="K682" s="6"/>
      <c r="L682" s="6"/>
      <c r="M682" s="6"/>
      <c r="N682" s="6"/>
      <c r="O682" s="6"/>
      <c r="P682" s="10" t="str">
        <f>IFERROR(__xludf.DUMMYFUNCTION("""COMPUTED_VALUE"""),"Nurul Aini, Nur Kholis")</f>
        <v>Nurul Aini, Nur Kholis</v>
      </c>
      <c r="Q682" s="11" t="str">
        <f>IFERROR(__xludf.DUMMYFUNCTION("""COMPUTED_VALUE"""),"https://ejournal.nusantaraglobal.ac.id/index.php/sentri/article/view/1641/1594")</f>
        <v>https://ejournal.nusantaraglobal.ac.id/index.php/sentri/article/view/1641/1594</v>
      </c>
      <c r="R682" s="6"/>
    </row>
    <row r="683">
      <c r="A683" s="5">
        <f>IFERROR(__xludf.DUMMYFUNCTION("""COMPUTED_VALUE"""),682.0)</f>
        <v>682</v>
      </c>
      <c r="B683" s="6" t="str">
        <f>IFERROR(__xludf.DUMMYFUNCTION("""COMPUTED_VALUE"""),"Knowledge Management Dosen Terhadap Kompetensi Mahasiswa Akuntansi Pada Perguruan Tinggi")</f>
        <v>Knowledge Management Dosen Terhadap Kompetensi Mahasiswa Akuntansi Pada Perguruan Tinggi</v>
      </c>
      <c r="C683" s="7">
        <f>IFERROR(__xludf.DUMMYFUNCTION("""COMPUTED_VALUE"""),2023.0)</f>
        <v>2023</v>
      </c>
      <c r="D683" s="8" t="str">
        <f>IFERROR(__xludf.DUMMYFUNCTION("""COMPUTED_VALUE"""),"2023/2024")</f>
        <v>2023/2024</v>
      </c>
      <c r="E683" s="9">
        <f>IFERROR(__xludf.DUMMYFUNCTION("""COMPUTED_VALUE"""),45209.0)</f>
        <v>45209</v>
      </c>
      <c r="F683" s="5" t="str">
        <f>IFERROR(__xludf.DUMMYFUNCTION("""COMPUTED_VALUE"""),"Ganjil")</f>
        <v>Ganjil</v>
      </c>
      <c r="G683" s="5" t="str">
        <f>IFERROR(__xludf.DUMMYFUNCTION("""COMPUTED_VALUE"""),"Akuntansi")</f>
        <v>Akuntansi</v>
      </c>
      <c r="H683" s="10" t="str">
        <f>IFERROR(__xludf.DUMMYFUNCTION("""COMPUTED_VALUE"""),"Dosen")</f>
        <v>Dosen</v>
      </c>
      <c r="I683" s="6" t="str">
        <f>IFERROR(__xludf.DUMMYFUNCTION("""COMPUTED_VALUE"""),"Rosita")</f>
        <v>Rosita</v>
      </c>
      <c r="J683" s="6" t="str">
        <f>IFERROR(__xludf.DUMMYFUNCTION("""COMPUTED_VALUE"""),"Heri Susanto")</f>
        <v>Heri Susanto</v>
      </c>
      <c r="K683" s="6" t="str">
        <f>IFERROR(__xludf.DUMMYFUNCTION("""COMPUTED_VALUE"""),"Ida Ayu Kade")</f>
        <v>Ida Ayu Kade</v>
      </c>
      <c r="L683" s="6" t="str">
        <f>IFERROR(__xludf.DUMMYFUNCTION("""COMPUTED_VALUE"""),"Amy Wulandari")</f>
        <v>Amy Wulandari</v>
      </c>
      <c r="M683" s="6"/>
      <c r="N683" s="6"/>
      <c r="O683" s="6"/>
      <c r="P683" s="10"/>
      <c r="Q683" s="11" t="str">
        <f>IFERROR(__xludf.DUMMYFUNCTION("""COMPUTED_VALUE"""),"http://ejurnal.setiabudi.ac.id/ojs/index.php/jbk/article/view/2252")</f>
        <v>http://ejurnal.setiabudi.ac.id/ojs/index.php/jbk/article/view/2252</v>
      </c>
      <c r="R683" s="6"/>
    </row>
    <row r="684">
      <c r="A684" s="5">
        <f>IFERROR(__xludf.DUMMYFUNCTION("""COMPUTED_VALUE"""),683.0)</f>
        <v>683</v>
      </c>
      <c r="B684" s="6" t="str">
        <f>IFERROR(__xludf.DUMMYFUNCTION("""COMPUTED_VALUE"""),"PENGARUH MODAL, TENAGA KERJA, HARGA DAN LAMA USAHA TERHADAP PENDAPATAN UMKM KULINER DI KOTA SURAKARTA")</f>
        <v>PENGARUH MODAL, TENAGA KERJA, HARGA DAN LAMA USAHA TERHADAP PENDAPATAN UMKM KULINER DI KOTA SURAKARTA</v>
      </c>
      <c r="C684" s="7">
        <f>IFERROR(__xludf.DUMMYFUNCTION("""COMPUTED_VALUE"""),2023.0)</f>
        <v>2023</v>
      </c>
      <c r="D684" s="8" t="str">
        <f>IFERROR(__xludf.DUMMYFUNCTION("""COMPUTED_VALUE"""),"2023/2024")</f>
        <v>2023/2024</v>
      </c>
      <c r="E684" s="9">
        <f>IFERROR(__xludf.DUMMYFUNCTION("""COMPUTED_VALUE"""),45210.0)</f>
        <v>45210</v>
      </c>
      <c r="F684" s="5" t="str">
        <f>IFERROR(__xludf.DUMMYFUNCTION("""COMPUTED_VALUE"""),"Ganjil")</f>
        <v>Ganjil</v>
      </c>
      <c r="G684" s="5" t="str">
        <f>IFERROR(__xludf.DUMMYFUNCTION("""COMPUTED_VALUE"""),"Akuntansi")</f>
        <v>Akuntansi</v>
      </c>
      <c r="H684" s="10" t="str">
        <f>IFERROR(__xludf.DUMMYFUNCTION("""COMPUTED_VALUE"""),"Mahasiswa")</f>
        <v>Mahasiswa</v>
      </c>
      <c r="I684" s="6" t="str">
        <f>IFERROR(__xludf.DUMMYFUNCTION("""COMPUTED_VALUE"""),"Wafiqotul Luthfiyah")</f>
        <v>Wafiqotul Luthfiyah</v>
      </c>
      <c r="J684" s="6" t="str">
        <f>IFERROR(__xludf.DUMMYFUNCTION("""COMPUTED_VALUE"""),"Arif Nugroho Rachman")</f>
        <v>Arif Nugroho Rachman</v>
      </c>
      <c r="K684" s="6"/>
      <c r="L684" s="6"/>
      <c r="M684" s="6"/>
      <c r="N684" s="6"/>
      <c r="O684" s="6"/>
      <c r="P684" s="10" t="str">
        <f>IFERROR(__xludf.DUMMYFUNCTION("""COMPUTED_VALUE"""),"Wafiqotul Luthfiyah, Arif Nugroho Rachman")</f>
        <v>Wafiqotul Luthfiyah, Arif Nugroho Rachman</v>
      </c>
      <c r="Q684" s="11" t="str">
        <f>IFERROR(__xludf.DUMMYFUNCTION("""COMPUTED_VALUE"""),"http://ejurnal.kampusakademik.my.id/index.php/jipm/article/view/23")</f>
        <v>http://ejurnal.kampusakademik.my.id/index.php/jipm/article/view/23</v>
      </c>
      <c r="R684" s="6"/>
    </row>
    <row r="685">
      <c r="A685" s="5">
        <f>IFERROR(__xludf.DUMMYFUNCTION("""COMPUTED_VALUE"""),684.0)</f>
        <v>684</v>
      </c>
      <c r="B685" s="6" t="str">
        <f>IFERROR(__xludf.DUMMYFUNCTION("""COMPUTED_VALUE"""),"Pengaruh Firm Size, Debt To Asset Ratio, Dan Current Ratio Terhadap Profitabilitas Pada Perusahaan Makanan Dan Minuman Yang Terdaftar Di BEI")</f>
        <v>Pengaruh Firm Size, Debt To Asset Ratio, Dan Current Ratio Terhadap Profitabilitas Pada Perusahaan Makanan Dan Minuman Yang Terdaftar Di BEI</v>
      </c>
      <c r="C685" s="7">
        <f>IFERROR(__xludf.DUMMYFUNCTION("""COMPUTED_VALUE"""),2023.0)</f>
        <v>2023</v>
      </c>
      <c r="D685" s="8" t="str">
        <f>IFERROR(__xludf.DUMMYFUNCTION("""COMPUTED_VALUE"""),"2023/2024")</f>
        <v>2023/2024</v>
      </c>
      <c r="E685" s="9">
        <f>IFERROR(__xludf.DUMMYFUNCTION("""COMPUTED_VALUE"""),45215.0)</f>
        <v>45215</v>
      </c>
      <c r="F685" s="5" t="str">
        <f>IFERROR(__xludf.DUMMYFUNCTION("""COMPUTED_VALUE"""),"Ganjil")</f>
        <v>Ganjil</v>
      </c>
      <c r="G685" s="5" t="str">
        <f>IFERROR(__xludf.DUMMYFUNCTION("""COMPUTED_VALUE"""),"Akuntansi")</f>
        <v>Akuntansi</v>
      </c>
      <c r="H685" s="10" t="str">
        <f>IFERROR(__xludf.DUMMYFUNCTION("""COMPUTED_VALUE"""),"Mahasiswa")</f>
        <v>Mahasiswa</v>
      </c>
      <c r="I685" s="6" t="str">
        <f>IFERROR(__xludf.DUMMYFUNCTION("""COMPUTED_VALUE"""),"Astri Mulat Mawarni")</f>
        <v>Astri Mulat Mawarni</v>
      </c>
      <c r="J685" s="6" t="str">
        <f>IFERROR(__xludf.DUMMYFUNCTION("""COMPUTED_VALUE"""),"Nur Kholis")</f>
        <v>Nur Kholis</v>
      </c>
      <c r="K685" s="6"/>
      <c r="L685" s="6"/>
      <c r="M685" s="6"/>
      <c r="N685" s="6"/>
      <c r="O685" s="6"/>
      <c r="P685" s="10" t="str">
        <f>IFERROR(__xludf.DUMMYFUNCTION("""COMPUTED_VALUE"""),"Astri Mulat Mawarni, Nur Kholis")</f>
        <v>Astri Mulat Mawarni, Nur Kholis</v>
      </c>
      <c r="Q685" s="11" t="str">
        <f>IFERROR(__xludf.DUMMYFUNCTION("""COMPUTED_VALUE"""),"https://jurnal.stie-aas.ac.id/index.php/jie/article/view/11006")</f>
        <v>https://jurnal.stie-aas.ac.id/index.php/jie/article/view/11006</v>
      </c>
      <c r="R685" s="6"/>
    </row>
    <row r="686">
      <c r="A686" s="5">
        <f>IFERROR(__xludf.DUMMYFUNCTION("""COMPUTED_VALUE"""),685.0)</f>
        <v>685</v>
      </c>
      <c r="B686" s="6" t="str">
        <f>IFERROR(__xludf.DUMMYFUNCTION("""COMPUTED_VALUE"""),"Faktor-Faktor Yang Mempengaruhi Pengguna Aplikasi Gopay Di Jakarta")</f>
        <v>Faktor-Faktor Yang Mempengaruhi Pengguna Aplikasi Gopay Di Jakarta</v>
      </c>
      <c r="C686" s="7">
        <f>IFERROR(__xludf.DUMMYFUNCTION("""COMPUTED_VALUE"""),2023.0)</f>
        <v>2023</v>
      </c>
      <c r="D686" s="8" t="str">
        <f>IFERROR(__xludf.DUMMYFUNCTION("""COMPUTED_VALUE"""),"2023/2024")</f>
        <v>2023/2024</v>
      </c>
      <c r="E686" s="9">
        <f>IFERROR(__xludf.DUMMYFUNCTION("""COMPUTED_VALUE"""),45217.0)</f>
        <v>45217</v>
      </c>
      <c r="F686" s="5" t="str">
        <f>IFERROR(__xludf.DUMMYFUNCTION("""COMPUTED_VALUE"""),"Ganjil")</f>
        <v>Ganjil</v>
      </c>
      <c r="G686" s="5" t="str">
        <f>IFERROR(__xludf.DUMMYFUNCTION("""COMPUTED_VALUE"""),"Manajemen")</f>
        <v>Manajemen</v>
      </c>
      <c r="H686" s="10" t="str">
        <f>IFERROR(__xludf.DUMMYFUNCTION("""COMPUTED_VALUE"""),"Mahasiswa")</f>
        <v>Mahasiswa</v>
      </c>
      <c r="I686" s="6" t="str">
        <f>IFERROR(__xludf.DUMMYFUNCTION("""COMPUTED_VALUE"""),"Nabila Adilah Rohmah")</f>
        <v>Nabila Adilah Rohmah</v>
      </c>
      <c r="J686" s="6" t="str">
        <f>IFERROR(__xludf.DUMMYFUNCTION("""COMPUTED_VALUE"""),"Heny Kurnianingsih")</f>
        <v>Heny Kurnianingsih</v>
      </c>
      <c r="K686" s="6"/>
      <c r="L686" s="6"/>
      <c r="M686" s="6"/>
      <c r="N686" s="6"/>
      <c r="O686" s="6"/>
      <c r="P686" s="10" t="str">
        <f>IFERROR(__xludf.DUMMYFUNCTION("""COMPUTED_VALUE"""),"Nabila Adilah Rohmah, Heny Kurnianingsih")</f>
        <v>Nabila Adilah Rohmah, Heny Kurnianingsih</v>
      </c>
      <c r="Q686" s="11" t="str">
        <f>IFERROR(__xludf.DUMMYFUNCTION("""COMPUTED_VALUE"""),"https://j-economics.my.id/index.php/home/article/view/71")</f>
        <v>https://j-economics.my.id/index.php/home/article/view/71</v>
      </c>
      <c r="R686" s="6"/>
    </row>
    <row r="687">
      <c r="A687" s="5">
        <f>IFERROR(__xludf.DUMMYFUNCTION("""COMPUTED_VALUE"""),686.0)</f>
        <v>686</v>
      </c>
      <c r="B687" s="6" t="str">
        <f>IFERROR(__xludf.DUMMYFUNCTION("""COMPUTED_VALUE"""),"Pengaruh Promosi, Harga, Dan Word Of Mouth Terhadap Minat Beli Pengguna Aplikasi Tiktok Shop")</f>
        <v>Pengaruh Promosi, Harga, Dan Word Of Mouth Terhadap Minat Beli Pengguna Aplikasi Tiktok Shop</v>
      </c>
      <c r="C687" s="7">
        <f>IFERROR(__xludf.DUMMYFUNCTION("""COMPUTED_VALUE"""),2023.0)</f>
        <v>2023</v>
      </c>
      <c r="D687" s="8" t="str">
        <f>IFERROR(__xludf.DUMMYFUNCTION("""COMPUTED_VALUE"""),"2023/2024")</f>
        <v>2023/2024</v>
      </c>
      <c r="E687" s="9">
        <f>IFERROR(__xludf.DUMMYFUNCTION("""COMPUTED_VALUE"""),45222.0)</f>
        <v>45222</v>
      </c>
      <c r="F687" s="5" t="str">
        <f>IFERROR(__xludf.DUMMYFUNCTION("""COMPUTED_VALUE"""),"Ganjil")</f>
        <v>Ganjil</v>
      </c>
      <c r="G687" s="5" t="str">
        <f>IFERROR(__xludf.DUMMYFUNCTION("""COMPUTED_VALUE"""),"Manajemen")</f>
        <v>Manajemen</v>
      </c>
      <c r="H687" s="10" t="str">
        <f>IFERROR(__xludf.DUMMYFUNCTION("""COMPUTED_VALUE"""),"Mahasiswa")</f>
        <v>Mahasiswa</v>
      </c>
      <c r="I687" s="6" t="str">
        <f>IFERROR(__xludf.DUMMYFUNCTION("""COMPUTED_VALUE"""),"Indri Ani Tri Mart")</f>
        <v>Indri Ani Tri Mart</v>
      </c>
      <c r="J687" s="6" t="str">
        <f>IFERROR(__xludf.DUMMYFUNCTION("""COMPUTED_VALUE"""),"Andri Nurtantiono")</f>
        <v>Andri Nurtantiono</v>
      </c>
      <c r="K687" s="6"/>
      <c r="L687" s="6"/>
      <c r="M687" s="6"/>
      <c r="N687" s="6"/>
      <c r="O687" s="6"/>
      <c r="P687" s="10" t="str">
        <f>IFERROR(__xludf.DUMMYFUNCTION("""COMPUTED_VALUE"""),"Indri Ani Tri Mart, Andri Nurtantiono")</f>
        <v>Indri Ani Tri Mart, Andri Nurtantiono</v>
      </c>
      <c r="Q687" s="11" t="str">
        <f>IFERROR(__xludf.DUMMYFUNCTION("""COMPUTED_VALUE"""),"https://jurnal.stie-aas.ac.id/index.php/jie/article/view/10280")</f>
        <v>https://jurnal.stie-aas.ac.id/index.php/jie/article/view/10280</v>
      </c>
      <c r="R687" s="6"/>
    </row>
    <row r="688">
      <c r="A688" s="5">
        <f>IFERROR(__xludf.DUMMYFUNCTION("""COMPUTED_VALUE"""),687.0)</f>
        <v>687</v>
      </c>
      <c r="B688" s="6" t="str">
        <f>IFERROR(__xludf.DUMMYFUNCTION("""COMPUTED_VALUE"""),"Pengaruh Pendapatan, Literasi Keuangan, Locus of Control dan Kepribadian terhadap Perilaku Manajemen Keuangan UMKM Coffe Shop di Wilayah Surakarta")</f>
        <v>Pengaruh Pendapatan, Literasi Keuangan, Locus of Control dan Kepribadian terhadap Perilaku Manajemen Keuangan UMKM Coffe Shop di Wilayah Surakarta</v>
      </c>
      <c r="C688" s="7">
        <f>IFERROR(__xludf.DUMMYFUNCTION("""COMPUTED_VALUE"""),2023.0)</f>
        <v>2023</v>
      </c>
      <c r="D688" s="8" t="str">
        <f>IFERROR(__xludf.DUMMYFUNCTION("""COMPUTED_VALUE"""),"2023/2024")</f>
        <v>2023/2024</v>
      </c>
      <c r="E688" s="9">
        <f>IFERROR(__xludf.DUMMYFUNCTION("""COMPUTED_VALUE"""),45224.0)</f>
        <v>45224</v>
      </c>
      <c r="F688" s="5" t="str">
        <f>IFERROR(__xludf.DUMMYFUNCTION("""COMPUTED_VALUE"""),"Ganjil")</f>
        <v>Ganjil</v>
      </c>
      <c r="G688" s="5" t="str">
        <f>IFERROR(__xludf.DUMMYFUNCTION("""COMPUTED_VALUE"""),"Akuntansi")</f>
        <v>Akuntansi</v>
      </c>
      <c r="H688" s="10" t="str">
        <f>IFERROR(__xludf.DUMMYFUNCTION("""COMPUTED_VALUE"""),"Mahasiswa")</f>
        <v>Mahasiswa</v>
      </c>
      <c r="I688" s="6" t="str">
        <f>IFERROR(__xludf.DUMMYFUNCTION("""COMPUTED_VALUE"""),"Adinda Fadhilla Ismawati")</f>
        <v>Adinda Fadhilla Ismawati</v>
      </c>
      <c r="J688" s="6" t="str">
        <f>IFERROR(__xludf.DUMMYFUNCTION("""COMPUTED_VALUE"""),"Arif Nugroho Rachman")</f>
        <v>Arif Nugroho Rachman</v>
      </c>
      <c r="K688" s="6"/>
      <c r="L688" s="6"/>
      <c r="M688" s="6"/>
      <c r="N688" s="6"/>
      <c r="O688" s="6"/>
      <c r="P688" s="10" t="str">
        <f>IFERROR(__xludf.DUMMYFUNCTION("""COMPUTED_VALUE"""),"Adinda Fadhilla Ismawati, Arif Nugroho Rachman")</f>
        <v>Adinda Fadhilla Ismawati, Arif Nugroho Rachman</v>
      </c>
      <c r="Q688" s="11" t="str">
        <f>IFERROR(__xludf.DUMMYFUNCTION("""COMPUTED_VALUE"""),"https://sunanbonang.org/index.php/miftah/article/view/164")</f>
        <v>https://sunanbonang.org/index.php/miftah/article/view/164</v>
      </c>
      <c r="R688" s="6"/>
    </row>
    <row r="689">
      <c r="A689" s="5">
        <f>IFERROR(__xludf.DUMMYFUNCTION("""COMPUTED_VALUE"""),688.0)</f>
        <v>688</v>
      </c>
      <c r="B689" s="6" t="str">
        <f>IFERROR(__xludf.DUMMYFUNCTION("""COMPUTED_VALUE"""),"PENGARUH LITERASI KEUANGAN, INOVASI PRODUK, DAN HARGA TERHADAP KINERJA KEUANGAN (Studi kasus pada UMKM di Alun-alun Sukoharjo)")</f>
        <v>PENGARUH LITERASI KEUANGAN, INOVASI PRODUK, DAN HARGA TERHADAP KINERJA KEUANGAN (Studi kasus pada UMKM di Alun-alun Sukoharjo)</v>
      </c>
      <c r="C689" s="7">
        <f>IFERROR(__xludf.DUMMYFUNCTION("""COMPUTED_VALUE"""),2023.0)</f>
        <v>2023</v>
      </c>
      <c r="D689" s="8" t="str">
        <f>IFERROR(__xludf.DUMMYFUNCTION("""COMPUTED_VALUE"""),"2023/2024")</f>
        <v>2023/2024</v>
      </c>
      <c r="E689" s="9">
        <f>IFERROR(__xludf.DUMMYFUNCTION("""COMPUTED_VALUE"""),45225.0)</f>
        <v>45225</v>
      </c>
      <c r="F689" s="5" t="str">
        <f>IFERROR(__xludf.DUMMYFUNCTION("""COMPUTED_VALUE"""),"Ganjil")</f>
        <v>Ganjil</v>
      </c>
      <c r="G689" s="5" t="str">
        <f>IFERROR(__xludf.DUMMYFUNCTION("""COMPUTED_VALUE"""),"Akuntansi")</f>
        <v>Akuntansi</v>
      </c>
      <c r="H689" s="10" t="str">
        <f>IFERROR(__xludf.DUMMYFUNCTION("""COMPUTED_VALUE"""),"Mahasiswa")</f>
        <v>Mahasiswa</v>
      </c>
      <c r="I689" s="6" t="str">
        <f>IFERROR(__xludf.DUMMYFUNCTION("""COMPUTED_VALUE"""),"Aulia Ridha Ratna Putri")</f>
        <v>Aulia Ridha Ratna Putri</v>
      </c>
      <c r="J689" s="6" t="str">
        <f>IFERROR(__xludf.DUMMYFUNCTION("""COMPUTED_VALUE"""),"Eko Triyanto")</f>
        <v>Eko Triyanto</v>
      </c>
      <c r="K689" s="6"/>
      <c r="L689" s="6"/>
      <c r="M689" s="6"/>
      <c r="N689" s="6"/>
      <c r="O689" s="6"/>
      <c r="P689" s="10" t="str">
        <f>IFERROR(__xludf.DUMMYFUNCTION("""COMPUTED_VALUE"""),"Aulia Ridha Ratna Putri, Eko Triyanto")</f>
        <v>Aulia Ridha Ratna Putri, Eko Triyanto</v>
      </c>
      <c r="Q689" s="11" t="str">
        <f>IFERROR(__xludf.DUMMYFUNCTION("""COMPUTED_VALUE"""),"https://ejurnal.kampusakademik.co.id/index.php/jiem/article/view/72")</f>
        <v>https://ejurnal.kampusakademik.co.id/index.php/jiem/article/view/72</v>
      </c>
      <c r="R689" s="6"/>
    </row>
    <row r="690">
      <c r="A690" s="5">
        <f>IFERROR(__xludf.DUMMYFUNCTION("""COMPUTED_VALUE"""),689.0)</f>
        <v>689</v>
      </c>
      <c r="B690" s="6" t="str">
        <f>IFERROR(__xludf.DUMMYFUNCTION("""COMPUTED_VALUE"""),"DETERMINASI NILAI PERUSAHAAN (STUDI KASUS PERUSAHAAN TRANSPORTASI DAN LOGISTIK PERIODE 2018-2021)")</f>
        <v>DETERMINASI NILAI PERUSAHAAN (STUDI KASUS PERUSAHAAN TRANSPORTASI DAN LOGISTIK PERIODE 2018-2021)</v>
      </c>
      <c r="C690" s="7">
        <f>IFERROR(__xludf.DUMMYFUNCTION("""COMPUTED_VALUE"""),2023.0)</f>
        <v>2023</v>
      </c>
      <c r="D690" s="8" t="str">
        <f>IFERROR(__xludf.DUMMYFUNCTION("""COMPUTED_VALUE"""),"2023/2024")</f>
        <v>2023/2024</v>
      </c>
      <c r="E690" s="9">
        <f>IFERROR(__xludf.DUMMYFUNCTION("""COMPUTED_VALUE"""),45227.0)</f>
        <v>45227</v>
      </c>
      <c r="F690" s="5" t="str">
        <f>IFERROR(__xludf.DUMMYFUNCTION("""COMPUTED_VALUE"""),"Ganjil")</f>
        <v>Ganjil</v>
      </c>
      <c r="G690" s="5" t="str">
        <f>IFERROR(__xludf.DUMMYFUNCTION("""COMPUTED_VALUE"""),"Akuntansi")</f>
        <v>Akuntansi</v>
      </c>
      <c r="H690" s="10" t="str">
        <f>IFERROR(__xludf.DUMMYFUNCTION("""COMPUTED_VALUE"""),"Mahasiswa")</f>
        <v>Mahasiswa</v>
      </c>
      <c r="I690" s="6" t="str">
        <f>IFERROR(__xludf.DUMMYFUNCTION("""COMPUTED_VALUE"""),"Vungky Nilamsari")</f>
        <v>Vungky Nilamsari</v>
      </c>
      <c r="J690" s="6" t="str">
        <f>IFERROR(__xludf.DUMMYFUNCTION("""COMPUTED_VALUE"""),"Ismunawan")</f>
        <v>Ismunawan</v>
      </c>
      <c r="K690" s="6"/>
      <c r="L690" s="6"/>
      <c r="M690" s="6"/>
      <c r="N690" s="6"/>
      <c r="O690" s="6"/>
      <c r="P690" s="10" t="str">
        <f>IFERROR(__xludf.DUMMYFUNCTION("""COMPUTED_VALUE"""),"Vungky Nilamsari, Ismunawan")</f>
        <v>Vungky Nilamsari, Ismunawan</v>
      </c>
      <c r="Q690" s="11" t="str">
        <f>IFERROR(__xludf.DUMMYFUNCTION("""COMPUTED_VALUE"""),"https://www.journal.yp3a.org/index.php/akua/article/view/1935")</f>
        <v>https://www.journal.yp3a.org/index.php/akua/article/view/1935</v>
      </c>
      <c r="R690" s="6"/>
    </row>
    <row r="691">
      <c r="A691" s="5">
        <f>IFERROR(__xludf.DUMMYFUNCTION("""COMPUTED_VALUE"""),690.0)</f>
        <v>690</v>
      </c>
      <c r="B691" s="6" t="str">
        <f>IFERROR(__xludf.DUMMYFUNCTION("""COMPUTED_VALUE"""),"Analisis Kepuasan Konsumen Dompet Digital Ovo Dipengaruhi Faktor Kemudahan, Persepsi Manfaat Dan Promosi")</f>
        <v>Analisis Kepuasan Konsumen Dompet Digital Ovo Dipengaruhi Faktor Kemudahan, Persepsi Manfaat Dan Promosi</v>
      </c>
      <c r="C691" s="7">
        <f>IFERROR(__xludf.DUMMYFUNCTION("""COMPUTED_VALUE"""),2023.0)</f>
        <v>2023</v>
      </c>
      <c r="D691" s="8" t="str">
        <f>IFERROR(__xludf.DUMMYFUNCTION("""COMPUTED_VALUE"""),"2023/2024")</f>
        <v>2023/2024</v>
      </c>
      <c r="E691" s="9">
        <f>IFERROR(__xludf.DUMMYFUNCTION("""COMPUTED_VALUE"""),45229.0)</f>
        <v>45229</v>
      </c>
      <c r="F691" s="5" t="str">
        <f>IFERROR(__xludf.DUMMYFUNCTION("""COMPUTED_VALUE"""),"Ganjil")</f>
        <v>Ganjil</v>
      </c>
      <c r="G691" s="5" t="str">
        <f>IFERROR(__xludf.DUMMYFUNCTION("""COMPUTED_VALUE"""),"Akuntansi")</f>
        <v>Akuntansi</v>
      </c>
      <c r="H691" s="10" t="str">
        <f>IFERROR(__xludf.DUMMYFUNCTION("""COMPUTED_VALUE"""),"Mahasiswa")</f>
        <v>Mahasiswa</v>
      </c>
      <c r="I691" s="6" t="str">
        <f>IFERROR(__xludf.DUMMYFUNCTION("""COMPUTED_VALUE"""),"Ayu Septy Ardani")</f>
        <v>Ayu Septy Ardani</v>
      </c>
      <c r="J691" s="6" t="str">
        <f>IFERROR(__xludf.DUMMYFUNCTION("""COMPUTED_VALUE"""),"Tri Ratna Pamikatsih")</f>
        <v>Tri Ratna Pamikatsih</v>
      </c>
      <c r="K691" s="6"/>
      <c r="L691" s="6"/>
      <c r="M691" s="6"/>
      <c r="N691" s="6"/>
      <c r="O691" s="6"/>
      <c r="P691" s="10" t="str">
        <f>IFERROR(__xludf.DUMMYFUNCTION("""COMPUTED_VALUE"""),"Ayu Septy Ardani, Tri Ratna Pamikatsih")</f>
        <v>Ayu Septy Ardani, Tri Ratna Pamikatsih</v>
      </c>
      <c r="Q691" s="11" t="str">
        <f>IFERROR(__xludf.DUMMYFUNCTION("""COMPUTED_VALUE"""),"https://ojs.cahayamandalika.com/index.php/jtm/article/view/2150")</f>
        <v>https://ojs.cahayamandalika.com/index.php/jtm/article/view/2150</v>
      </c>
      <c r="R691" s="6"/>
    </row>
    <row r="692">
      <c r="A692" s="5">
        <f>IFERROR(__xludf.DUMMYFUNCTION("""COMPUTED_VALUE"""),691.0)</f>
        <v>691</v>
      </c>
      <c r="B692" s="6" t="str">
        <f>IFERROR(__xludf.DUMMYFUNCTION("""COMPUTED_VALUE"""),"PKM KELOMPOK USAHA PARIWISATA UNTUK PENINGKATAN NILAI EKONOMI KAWASAN PANTAI BALONG MULYO")</f>
        <v>PKM KELOMPOK USAHA PARIWISATA UNTUK PENINGKATAN NILAI EKONOMI KAWASAN PANTAI BALONG MULYO</v>
      </c>
      <c r="C692" s="7">
        <f>IFERROR(__xludf.DUMMYFUNCTION("""COMPUTED_VALUE"""),2023.0)</f>
        <v>2023</v>
      </c>
      <c r="D692" s="8" t="str">
        <f>IFERROR(__xludf.DUMMYFUNCTION("""COMPUTED_VALUE"""),"2023/2024")</f>
        <v>2023/2024</v>
      </c>
      <c r="E692" s="9">
        <f>IFERROR(__xludf.DUMMYFUNCTION("""COMPUTED_VALUE"""),45229.0)</f>
        <v>45229</v>
      </c>
      <c r="F692" s="5" t="str">
        <f>IFERROR(__xludf.DUMMYFUNCTION("""COMPUTED_VALUE"""),"Ganjil")</f>
        <v>Ganjil</v>
      </c>
      <c r="G692" s="5" t="str">
        <f>IFERROR(__xludf.DUMMYFUNCTION("""COMPUTED_VALUE"""),"Manajemen")</f>
        <v>Manajemen</v>
      </c>
      <c r="H692" s="10" t="str">
        <f>IFERROR(__xludf.DUMMYFUNCTION("""COMPUTED_VALUE"""),"Dosen")</f>
        <v>Dosen</v>
      </c>
      <c r="I692" s="6" t="str">
        <f>IFERROR(__xludf.DUMMYFUNCTION("""COMPUTED_VALUE"""),"Rikah")</f>
        <v>Rikah</v>
      </c>
      <c r="J692" s="6" t="str">
        <f>IFERROR(__xludf.DUMMYFUNCTION("""COMPUTED_VALUE"""),"Ari Susanti")</f>
        <v>Ari Susanti</v>
      </c>
      <c r="K692" s="6" t="str">
        <f>IFERROR(__xludf.DUMMYFUNCTION("""COMPUTED_VALUE"""),"Damayanti")</f>
        <v>Damayanti</v>
      </c>
      <c r="L692" s="6"/>
      <c r="M692" s="6"/>
      <c r="N692" s="6"/>
      <c r="O692" s="6"/>
      <c r="P692" s="10"/>
      <c r="Q692" s="11" t="str">
        <f>IFERROR(__xludf.DUMMYFUNCTION("""COMPUTED_VALUE"""),"https://e-jurnal.unisda.ac.id/index.php/baktikita/article/view/5021")</f>
        <v>https://e-jurnal.unisda.ac.id/index.php/baktikita/article/view/5021</v>
      </c>
      <c r="R692" s="6"/>
    </row>
    <row r="693">
      <c r="A693" s="5">
        <f>IFERROR(__xludf.DUMMYFUNCTION("""COMPUTED_VALUE"""),692.0)</f>
        <v>692</v>
      </c>
      <c r="B693" s="6" t="str">
        <f>IFERROR(__xludf.DUMMYFUNCTION("""COMPUTED_VALUE"""),"PEMASARAN DAN PENGEMBANGAN OBJEK KAWASAN WISATA BALONGAN REMBANG MELALUI DESTINATION BRANDING")</f>
        <v>PEMASARAN DAN PENGEMBANGAN OBJEK KAWASAN WISATA BALONGAN REMBANG MELALUI DESTINATION BRANDING</v>
      </c>
      <c r="C693" s="7">
        <f>IFERROR(__xludf.DUMMYFUNCTION("""COMPUTED_VALUE"""),2023.0)</f>
        <v>2023</v>
      </c>
      <c r="D693" s="8" t="str">
        <f>IFERROR(__xludf.DUMMYFUNCTION("""COMPUTED_VALUE"""),"2023/2024")</f>
        <v>2023/2024</v>
      </c>
      <c r="E693" s="9">
        <f>IFERROR(__xludf.DUMMYFUNCTION("""COMPUTED_VALUE"""),45229.0)</f>
        <v>45229</v>
      </c>
      <c r="F693" s="5" t="str">
        <f>IFERROR(__xludf.DUMMYFUNCTION("""COMPUTED_VALUE"""),"Ganjil")</f>
        <v>Ganjil</v>
      </c>
      <c r="G693" s="5" t="str">
        <f>IFERROR(__xludf.DUMMYFUNCTION("""COMPUTED_VALUE"""),"Manajemen")</f>
        <v>Manajemen</v>
      </c>
      <c r="H693" s="10" t="str">
        <f>IFERROR(__xludf.DUMMYFUNCTION("""COMPUTED_VALUE"""),"Dosen")</f>
        <v>Dosen</v>
      </c>
      <c r="I693" s="6" t="str">
        <f>IFERROR(__xludf.DUMMYFUNCTION("""COMPUTED_VALUE"""),"Rikah")</f>
        <v>Rikah</v>
      </c>
      <c r="J693" s="6" t="str">
        <f>IFERROR(__xludf.DUMMYFUNCTION("""COMPUTED_VALUE"""),"Damayanti")</f>
        <v>Damayanti</v>
      </c>
      <c r="K693" s="6" t="str">
        <f>IFERROR(__xludf.DUMMYFUNCTION("""COMPUTED_VALUE"""),"Ari Susanti")</f>
        <v>Ari Susanti</v>
      </c>
      <c r="L693" s="6"/>
      <c r="M693" s="6"/>
      <c r="N693" s="6"/>
      <c r="O693" s="6"/>
      <c r="P693" s="10"/>
      <c r="Q693" s="11" t="str">
        <f>IFERROR(__xludf.DUMMYFUNCTION("""COMPUTED_VALUE"""),"https://ejournal.stiepena.ac.id/index.php/abdimas/article/view/874")</f>
        <v>https://ejournal.stiepena.ac.id/index.php/abdimas/article/view/874</v>
      </c>
      <c r="R693" s="6"/>
    </row>
    <row r="694">
      <c r="A694" s="5">
        <f>IFERROR(__xludf.DUMMYFUNCTION("""COMPUTED_VALUE"""),693.0)</f>
        <v>693</v>
      </c>
      <c r="B694" s="6" t="str">
        <f>IFERROR(__xludf.DUMMYFUNCTION("""COMPUTED_VALUE"""),"ANALISIS FAKTOR PSIKOLOGIS, HARGA, DAN KUALITAS PELAYANAN DALAM MENGAMBIL KEPUTUSAN PEMBELIAN IKAN GUPPY PADA ERA PANDEMI COVID-19 DI SOLO RAYA ")</f>
        <v>ANALISIS FAKTOR PSIKOLOGIS, HARGA, DAN KUALITAS PELAYANAN DALAM MENGAMBIL KEPUTUSAN PEMBELIAN IKAN GUPPY PADA ERA PANDEMI COVID-19 DI SOLO RAYA </v>
      </c>
      <c r="C694" s="7">
        <f>IFERROR(__xludf.DUMMYFUNCTION("""COMPUTED_VALUE"""),2023.0)</f>
        <v>2023</v>
      </c>
      <c r="D694" s="8" t="str">
        <f>IFERROR(__xludf.DUMMYFUNCTION("""COMPUTED_VALUE"""),"2023/2024")</f>
        <v>2023/2024</v>
      </c>
      <c r="E694" s="9">
        <f>IFERROR(__xludf.DUMMYFUNCTION("""COMPUTED_VALUE"""),45231.0)</f>
        <v>45231</v>
      </c>
      <c r="F694" s="5" t="str">
        <f>IFERROR(__xludf.DUMMYFUNCTION("""COMPUTED_VALUE"""),"Ganjil")</f>
        <v>Ganjil</v>
      </c>
      <c r="G694" s="5" t="str">
        <f>IFERROR(__xludf.DUMMYFUNCTION("""COMPUTED_VALUE"""),"Manajemen")</f>
        <v>Manajemen</v>
      </c>
      <c r="H694" s="10" t="str">
        <f>IFERROR(__xludf.DUMMYFUNCTION("""COMPUTED_VALUE"""),"Mahasiswa")</f>
        <v>Mahasiswa</v>
      </c>
      <c r="I694" s="6" t="str">
        <f>IFERROR(__xludf.DUMMYFUNCTION("""COMPUTED_VALUE"""),"Ahmad Dahlan")</f>
        <v>Ahmad Dahlan</v>
      </c>
      <c r="J694" s="6" t="str">
        <f>IFERROR(__xludf.DUMMYFUNCTION("""COMPUTED_VALUE"""),"Andri Nurtantiono")</f>
        <v>Andri Nurtantiono</v>
      </c>
      <c r="K694" s="6"/>
      <c r="L694" s="6"/>
      <c r="M694" s="6"/>
      <c r="N694" s="6"/>
      <c r="O694" s="6"/>
      <c r="P694" s="10" t="str">
        <f>IFERROR(__xludf.DUMMYFUNCTION("""COMPUTED_VALUE"""),"Ahmad Dahlan, Andri Nurtantiono")</f>
        <v>Ahmad Dahlan, Andri Nurtantiono</v>
      </c>
      <c r="Q694" s="11" t="str">
        <f>IFERROR(__xludf.DUMMYFUNCTION("""COMPUTED_VALUE"""),"https://ejurnal.undana.ac.id/index.php/JEM/article/view/8882")</f>
        <v>https://ejurnal.undana.ac.id/index.php/JEM/article/view/8882</v>
      </c>
      <c r="R694" s="6"/>
    </row>
    <row r="695">
      <c r="A695" s="5">
        <f>IFERROR(__xludf.DUMMYFUNCTION("""COMPUTED_VALUE"""),694.0)</f>
        <v>694</v>
      </c>
      <c r="B695" s="6" t="str">
        <f>IFERROR(__xludf.DUMMYFUNCTION("""COMPUTED_VALUE"""),"PENGARUH KOMPETENSI, AKUNTABILITAS, MORALITAS INDIVIDU, TERHADAP PENCEGAHAN FRAUD DALAM PENGELOLAAN DANA DESA")</f>
        <v>PENGARUH KOMPETENSI, AKUNTABILITAS, MORALITAS INDIVIDU, TERHADAP PENCEGAHAN FRAUD DALAM PENGELOLAAN DANA DESA</v>
      </c>
      <c r="C695" s="7">
        <f>IFERROR(__xludf.DUMMYFUNCTION("""COMPUTED_VALUE"""),2023.0)</f>
        <v>2023</v>
      </c>
      <c r="D695" s="8" t="str">
        <f>IFERROR(__xludf.DUMMYFUNCTION("""COMPUTED_VALUE"""),"2023/2024")</f>
        <v>2023/2024</v>
      </c>
      <c r="E695" s="9">
        <f>IFERROR(__xludf.DUMMYFUNCTION("""COMPUTED_VALUE"""),45242.0)</f>
        <v>45242</v>
      </c>
      <c r="F695" s="5" t="str">
        <f>IFERROR(__xludf.DUMMYFUNCTION("""COMPUTED_VALUE"""),"Ganjil")</f>
        <v>Ganjil</v>
      </c>
      <c r="G695" s="5" t="str">
        <f>IFERROR(__xludf.DUMMYFUNCTION("""COMPUTED_VALUE"""),"Akuntansi")</f>
        <v>Akuntansi</v>
      </c>
      <c r="H695" s="10" t="str">
        <f>IFERROR(__xludf.DUMMYFUNCTION("""COMPUTED_VALUE"""),"Mahasiswa")</f>
        <v>Mahasiswa</v>
      </c>
      <c r="I695" s="6" t="str">
        <f>IFERROR(__xludf.DUMMYFUNCTION("""COMPUTED_VALUE"""),"Lusi Apriliyani")</f>
        <v>Lusi Apriliyani</v>
      </c>
      <c r="J695" s="6" t="str">
        <f>IFERROR(__xludf.DUMMYFUNCTION("""COMPUTED_VALUE"""),"Nur Kholis")</f>
        <v>Nur Kholis</v>
      </c>
      <c r="K695" s="6"/>
      <c r="L695" s="6"/>
      <c r="M695" s="6"/>
      <c r="N695" s="6"/>
      <c r="O695" s="6"/>
      <c r="P695" s="10" t="str">
        <f>IFERROR(__xludf.DUMMYFUNCTION("""COMPUTED_VALUE"""),"Lusi Apriliyani, Nur Kholis")</f>
        <v>Lusi Apriliyani, Nur Kholis</v>
      </c>
      <c r="Q695" s="11" t="str">
        <f>IFERROR(__xludf.DUMMYFUNCTION("""COMPUTED_VALUE"""),"https://ejurnal.kampusakademik.co.id/index.php/jiem/article/view/178")</f>
        <v>https://ejurnal.kampusakademik.co.id/index.php/jiem/article/view/178</v>
      </c>
      <c r="R695" s="6"/>
    </row>
    <row r="696">
      <c r="A696" s="5">
        <f>IFERROR(__xludf.DUMMYFUNCTION("""COMPUTED_VALUE"""),695.0)</f>
        <v>695</v>
      </c>
      <c r="B696" s="6" t="str">
        <f>IFERROR(__xludf.DUMMYFUNCTION("""COMPUTED_VALUE"""),"Performa Sistem Informasi Akuntansi PT Masmedia Buana Pustaka")</f>
        <v>Performa Sistem Informasi Akuntansi PT Masmedia Buana Pustaka</v>
      </c>
      <c r="C696" s="7">
        <f>IFERROR(__xludf.DUMMYFUNCTION("""COMPUTED_VALUE"""),2023.0)</f>
        <v>2023</v>
      </c>
      <c r="D696" s="8" t="str">
        <f>IFERROR(__xludf.DUMMYFUNCTION("""COMPUTED_VALUE"""),"2023/2024")</f>
        <v>2023/2024</v>
      </c>
      <c r="E696" s="9">
        <f>IFERROR(__xludf.DUMMYFUNCTION("""COMPUTED_VALUE"""),45247.0)</f>
        <v>45247</v>
      </c>
      <c r="F696" s="5" t="str">
        <f>IFERROR(__xludf.DUMMYFUNCTION("""COMPUTED_VALUE"""),"Ganjil")</f>
        <v>Ganjil</v>
      </c>
      <c r="G696" s="5" t="str">
        <f>IFERROR(__xludf.DUMMYFUNCTION("""COMPUTED_VALUE"""),"Akuntansi")</f>
        <v>Akuntansi</v>
      </c>
      <c r="H696" s="10" t="str">
        <f>IFERROR(__xludf.DUMMYFUNCTION("""COMPUTED_VALUE"""),"Mahasiswa")</f>
        <v>Mahasiswa</v>
      </c>
      <c r="I696" s="6" t="str">
        <f>IFERROR(__xludf.DUMMYFUNCTION("""COMPUTED_VALUE"""),"Yemima Michelle Dewanti KP")</f>
        <v>Yemima Michelle Dewanti KP</v>
      </c>
      <c r="J696" s="6" t="str">
        <f>IFERROR(__xludf.DUMMYFUNCTION("""COMPUTED_VALUE"""),"Pardi")</f>
        <v>Pardi</v>
      </c>
      <c r="K696" s="6"/>
      <c r="L696" s="6"/>
      <c r="M696" s="6"/>
      <c r="N696" s="6"/>
      <c r="O696" s="6"/>
      <c r="P696" s="10" t="str">
        <f>IFERROR(__xludf.DUMMYFUNCTION("""COMPUTED_VALUE"""),"Yemima Michelle Dewanti KP, Pardi")</f>
        <v>Yemima Michelle Dewanti KP, Pardi</v>
      </c>
      <c r="Q696" s="11" t="str">
        <f>IFERROR(__xludf.DUMMYFUNCTION("""COMPUTED_VALUE"""),"https://ijespgjournal.org/index.php/ijespg/article/view/73")</f>
        <v>https://ijespgjournal.org/index.php/ijespg/article/view/73</v>
      </c>
      <c r="R696" s="6"/>
    </row>
    <row r="697">
      <c r="A697" s="5">
        <f>IFERROR(__xludf.DUMMYFUNCTION("""COMPUTED_VALUE"""),696.0)</f>
        <v>696</v>
      </c>
      <c r="B697" s="6" t="str">
        <f>IFERROR(__xludf.DUMMYFUNCTION("""COMPUTED_VALUE"""),"Analisis Pengaruh Kemudahan Transaksi, Harga, Fasilitas dan Ketepatan Waktu terhadap Kepuasan Pelanggan KRL Solo-Yogyakarta")</f>
        <v>Analisis Pengaruh Kemudahan Transaksi, Harga, Fasilitas dan Ketepatan Waktu terhadap Kepuasan Pelanggan KRL Solo-Yogyakarta</v>
      </c>
      <c r="C697" s="7">
        <f>IFERROR(__xludf.DUMMYFUNCTION("""COMPUTED_VALUE"""),2023.0)</f>
        <v>2023</v>
      </c>
      <c r="D697" s="8" t="str">
        <f>IFERROR(__xludf.DUMMYFUNCTION("""COMPUTED_VALUE"""),"2023/2024")</f>
        <v>2023/2024</v>
      </c>
      <c r="E697" s="9">
        <f>IFERROR(__xludf.DUMMYFUNCTION("""COMPUTED_VALUE"""),45254.0)</f>
        <v>45254</v>
      </c>
      <c r="F697" s="5" t="str">
        <f>IFERROR(__xludf.DUMMYFUNCTION("""COMPUTED_VALUE"""),"Ganjil")</f>
        <v>Ganjil</v>
      </c>
      <c r="G697" s="5" t="str">
        <f>IFERROR(__xludf.DUMMYFUNCTION("""COMPUTED_VALUE"""),"Manajemen")</f>
        <v>Manajemen</v>
      </c>
      <c r="H697" s="10" t="str">
        <f>IFERROR(__xludf.DUMMYFUNCTION("""COMPUTED_VALUE"""),"Mahasiswa")</f>
        <v>Mahasiswa</v>
      </c>
      <c r="I697" s="6" t="str">
        <f>IFERROR(__xludf.DUMMYFUNCTION("""COMPUTED_VALUE"""),"Ivan Setyo Wibowo")</f>
        <v>Ivan Setyo Wibowo</v>
      </c>
      <c r="J697" s="6" t="str">
        <f>IFERROR(__xludf.DUMMYFUNCTION("""COMPUTED_VALUE"""),"Christiawan Hendratmoko")</f>
        <v>Christiawan Hendratmoko</v>
      </c>
      <c r="K697" s="6"/>
      <c r="L697" s="6"/>
      <c r="M697" s="6"/>
      <c r="N697" s="6"/>
      <c r="O697" s="6"/>
      <c r="P697" s="10" t="str">
        <f>IFERROR(__xludf.DUMMYFUNCTION("""COMPUTED_VALUE"""),"Ivan Setyo Wibowo, Christiawan Hendratmoko")</f>
        <v>Ivan Setyo Wibowo, Christiawan Hendratmoko</v>
      </c>
      <c r="Q697" s="11" t="str">
        <f>IFERROR(__xludf.DUMMYFUNCTION("""COMPUTED_VALUE"""),"https://bajangjournal.com/index.php/Juremi/article/view/6642")</f>
        <v>https://bajangjournal.com/index.php/Juremi/article/view/6642</v>
      </c>
      <c r="R697" s="6"/>
    </row>
    <row r="698">
      <c r="A698" s="5">
        <f>IFERROR(__xludf.DUMMYFUNCTION("""COMPUTED_VALUE"""),697.0)</f>
        <v>697</v>
      </c>
      <c r="B698" s="6" t="str">
        <f>IFERROR(__xludf.DUMMYFUNCTION("""COMPUTED_VALUE"""),"Kepuasan Konsumen Lipstik Wardah Ditinjau Dari Kualitas Produk, Kesadaran Merek Dan Label Halal Di Surakarta")</f>
        <v>Kepuasan Konsumen Lipstik Wardah Ditinjau Dari Kualitas Produk, Kesadaran Merek Dan Label Halal Di Surakarta</v>
      </c>
      <c r="C698" s="7">
        <f>IFERROR(__xludf.DUMMYFUNCTION("""COMPUTED_VALUE"""),2023.0)</f>
        <v>2023</v>
      </c>
      <c r="D698" s="8" t="str">
        <f>IFERROR(__xludf.DUMMYFUNCTION("""COMPUTED_VALUE"""),"2023/2024")</f>
        <v>2023/2024</v>
      </c>
      <c r="E698" s="9">
        <f>IFERROR(__xludf.DUMMYFUNCTION("""COMPUTED_VALUE"""),45254.0)</f>
        <v>45254</v>
      </c>
      <c r="F698" s="5" t="str">
        <f>IFERROR(__xludf.DUMMYFUNCTION("""COMPUTED_VALUE"""),"Ganjil")</f>
        <v>Ganjil</v>
      </c>
      <c r="G698" s="5" t="str">
        <f>IFERROR(__xludf.DUMMYFUNCTION("""COMPUTED_VALUE"""),"Akuntansi")</f>
        <v>Akuntansi</v>
      </c>
      <c r="H698" s="10" t="str">
        <f>IFERROR(__xludf.DUMMYFUNCTION("""COMPUTED_VALUE"""),"Mahasiswa")</f>
        <v>Mahasiswa</v>
      </c>
      <c r="I698" s="6" t="str">
        <f>IFERROR(__xludf.DUMMYFUNCTION("""COMPUTED_VALUE"""),"Wahyu Ardhia Pramesti Warsoedi")</f>
        <v>Wahyu Ardhia Pramesti Warsoedi</v>
      </c>
      <c r="J698" s="6" t="str">
        <f>IFERROR(__xludf.DUMMYFUNCTION("""COMPUTED_VALUE"""),"Tri Ratna Pamikatsih")</f>
        <v>Tri Ratna Pamikatsih</v>
      </c>
      <c r="K698" s="6"/>
      <c r="L698" s="6"/>
      <c r="M698" s="6"/>
      <c r="N698" s="6"/>
      <c r="O698" s="6"/>
      <c r="P698" s="10" t="str">
        <f>IFERROR(__xludf.DUMMYFUNCTION("""COMPUTED_VALUE"""),"Wahyu Ardhia Pramesti Warsoedi, Tri Ratna Pamikatsih")</f>
        <v>Wahyu Ardhia Pramesti Warsoedi, Tri Ratna Pamikatsih</v>
      </c>
      <c r="Q698" s="11" t="str">
        <f>IFERROR(__xludf.DUMMYFUNCTION("""COMPUTED_VALUE"""),"https://bajangjournal.com/index.php/Juremi/article/view/4256")</f>
        <v>https://bajangjournal.com/index.php/Juremi/article/view/4256</v>
      </c>
      <c r="R698" s="6"/>
    </row>
    <row r="699">
      <c r="A699" s="5">
        <f>IFERROR(__xludf.DUMMYFUNCTION("""COMPUTED_VALUE"""),698.0)</f>
        <v>698</v>
      </c>
      <c r="B699" s="6" t="str">
        <f>IFERROR(__xludf.DUMMYFUNCTION("""COMPUTED_VALUE"""),"Pengaruh Pemberian Insentif, Motivasi dan Disiplin Kerja Terhadap Kinerja Pegawai Puskesmas Sawit")</f>
        <v>Pengaruh Pemberian Insentif, Motivasi dan Disiplin Kerja Terhadap Kinerja Pegawai Puskesmas Sawit</v>
      </c>
      <c r="C699" s="7">
        <f>IFERROR(__xludf.DUMMYFUNCTION("""COMPUTED_VALUE"""),2023.0)</f>
        <v>2023</v>
      </c>
      <c r="D699" s="8" t="str">
        <f>IFERROR(__xludf.DUMMYFUNCTION("""COMPUTED_VALUE"""),"2023/2024")</f>
        <v>2023/2024</v>
      </c>
      <c r="E699" s="9">
        <f>IFERROR(__xludf.DUMMYFUNCTION("""COMPUTED_VALUE"""),45259.0)</f>
        <v>45259</v>
      </c>
      <c r="F699" s="5" t="str">
        <f>IFERROR(__xludf.DUMMYFUNCTION("""COMPUTED_VALUE"""),"Ganjil")</f>
        <v>Ganjil</v>
      </c>
      <c r="G699" s="5" t="str">
        <f>IFERROR(__xludf.DUMMYFUNCTION("""COMPUTED_VALUE"""),"Manajemen")</f>
        <v>Manajemen</v>
      </c>
      <c r="H699" s="10" t="str">
        <f>IFERROR(__xludf.DUMMYFUNCTION("""COMPUTED_VALUE"""),"Mahasiswa")</f>
        <v>Mahasiswa</v>
      </c>
      <c r="I699" s="6" t="str">
        <f>IFERROR(__xludf.DUMMYFUNCTION("""COMPUTED_VALUE"""),"Anggi Sulistyo Rini")</f>
        <v>Anggi Sulistyo Rini</v>
      </c>
      <c r="J699" s="6" t="str">
        <f>IFERROR(__xludf.DUMMYFUNCTION("""COMPUTED_VALUE"""),"Putri Maisara")</f>
        <v>Putri Maisara</v>
      </c>
      <c r="K699" s="6"/>
      <c r="L699" s="6"/>
      <c r="M699" s="6"/>
      <c r="N699" s="6"/>
      <c r="O699" s="6"/>
      <c r="P699" s="10" t="str">
        <f>IFERROR(__xludf.DUMMYFUNCTION("""COMPUTED_VALUE"""),"Anggi Sulistyo Rini, Putri Maisara")</f>
        <v>Anggi Sulistyo Rini, Putri Maisara</v>
      </c>
      <c r="Q699" s="11" t="str">
        <f>IFERROR(__xludf.DUMMYFUNCTION("""COMPUTED_VALUE"""),"https://publikasi.dinus.ac.id/index.php/JMDB/article/view/9342")</f>
        <v>https://publikasi.dinus.ac.id/index.php/JMDB/article/view/9342</v>
      </c>
      <c r="R699" s="6"/>
    </row>
    <row r="700">
      <c r="A700" s="5">
        <f>IFERROR(__xludf.DUMMYFUNCTION("""COMPUTED_VALUE"""),699.0)</f>
        <v>699</v>
      </c>
      <c r="B700" s="6" t="str">
        <f>IFERROR(__xludf.DUMMYFUNCTION("""COMPUTED_VALUE"""),"Pengaruh Kompensasi, Stress Kerja, dan Motivasi Kerja Terhadap Produktivitas Kerja Karyawan Batik Kencana Baru")</f>
        <v>Pengaruh Kompensasi, Stress Kerja, dan Motivasi Kerja Terhadap Produktivitas Kerja Karyawan Batik Kencana Baru</v>
      </c>
      <c r="C700" s="7">
        <f>IFERROR(__xludf.DUMMYFUNCTION("""COMPUTED_VALUE"""),2023.0)</f>
        <v>2023</v>
      </c>
      <c r="D700" s="8" t="str">
        <f>IFERROR(__xludf.DUMMYFUNCTION("""COMPUTED_VALUE"""),"2023/2024")</f>
        <v>2023/2024</v>
      </c>
      <c r="E700" s="9">
        <f>IFERROR(__xludf.DUMMYFUNCTION("""COMPUTED_VALUE"""),45260.0)</f>
        <v>45260</v>
      </c>
      <c r="F700" s="5" t="str">
        <f>IFERROR(__xludf.DUMMYFUNCTION("""COMPUTED_VALUE"""),"Ganjil")</f>
        <v>Ganjil</v>
      </c>
      <c r="G700" s="5" t="str">
        <f>IFERROR(__xludf.DUMMYFUNCTION("""COMPUTED_VALUE"""),"Manajemen")</f>
        <v>Manajemen</v>
      </c>
      <c r="H700" s="10" t="str">
        <f>IFERROR(__xludf.DUMMYFUNCTION("""COMPUTED_VALUE"""),"Mahasiswa")</f>
        <v>Mahasiswa</v>
      </c>
      <c r="I700" s="6" t="str">
        <f>IFERROR(__xludf.DUMMYFUNCTION("""COMPUTED_VALUE"""),"Febri Adi Saputra")</f>
        <v>Febri Adi Saputra</v>
      </c>
      <c r="J700" s="6" t="str">
        <f>IFERROR(__xludf.DUMMYFUNCTION("""COMPUTED_VALUE"""),"Ida Ayu Kade")</f>
        <v>Ida Ayu Kade</v>
      </c>
      <c r="K700" s="6"/>
      <c r="L700" s="6"/>
      <c r="M700" s="6"/>
      <c r="N700" s="6"/>
      <c r="O700" s="6"/>
      <c r="P700" s="10" t="str">
        <f>IFERROR(__xludf.DUMMYFUNCTION("""COMPUTED_VALUE"""),"Febri Adi Saputra, Ida Ayu Kade")</f>
        <v>Febri Adi Saputra, Ida Ayu Kade</v>
      </c>
      <c r="Q700" s="11" t="str">
        <f>IFERROR(__xludf.DUMMYFUNCTION("""COMPUTED_VALUE"""),"https://www.scilit.com/publications/a27b5e26ace3d780f1501990707c7937")</f>
        <v>https://www.scilit.com/publications/a27b5e26ace3d780f1501990707c7937</v>
      </c>
      <c r="R700" s="6"/>
    </row>
    <row r="701">
      <c r="A701" s="5">
        <f>IFERROR(__xludf.DUMMYFUNCTION("""COMPUTED_VALUE"""),700.0)</f>
        <v>700</v>
      </c>
      <c r="B701" s="6" t="str">
        <f>IFERROR(__xludf.DUMMYFUNCTION("""COMPUTED_VALUE"""),"Pengaruh Kesehatan dan Keselamatan Kerja, Lingkungan Kerja, Stres Kerja Terhadap Turnover Intention Karyawan PT. Hanil Indonesia")</f>
        <v>Pengaruh Kesehatan dan Keselamatan Kerja, Lingkungan Kerja, Stres Kerja Terhadap Turnover Intention Karyawan PT. Hanil Indonesia</v>
      </c>
      <c r="C701" s="7">
        <f>IFERROR(__xludf.DUMMYFUNCTION("""COMPUTED_VALUE"""),2023.0)</f>
        <v>2023</v>
      </c>
      <c r="D701" s="8" t="str">
        <f>IFERROR(__xludf.DUMMYFUNCTION("""COMPUTED_VALUE"""),"2023/2024")</f>
        <v>2023/2024</v>
      </c>
      <c r="E701" s="9">
        <f>IFERROR(__xludf.DUMMYFUNCTION("""COMPUTED_VALUE"""),45260.0)</f>
        <v>45260</v>
      </c>
      <c r="F701" s="5" t="str">
        <f>IFERROR(__xludf.DUMMYFUNCTION("""COMPUTED_VALUE"""),"Ganjil")</f>
        <v>Ganjil</v>
      </c>
      <c r="G701" s="5" t="str">
        <f>IFERROR(__xludf.DUMMYFUNCTION("""COMPUTED_VALUE"""),"Manajemen")</f>
        <v>Manajemen</v>
      </c>
      <c r="H701" s="10" t="str">
        <f>IFERROR(__xludf.DUMMYFUNCTION("""COMPUTED_VALUE"""),"Mahasiswa")</f>
        <v>Mahasiswa</v>
      </c>
      <c r="I701" s="6" t="str">
        <f>IFERROR(__xludf.DUMMYFUNCTION("""COMPUTED_VALUE"""),"Ajeng Suci Nastiti")</f>
        <v>Ajeng Suci Nastiti</v>
      </c>
      <c r="J701" s="6" t="str">
        <f>IFERROR(__xludf.DUMMYFUNCTION("""COMPUTED_VALUE"""),"Putri Maisara")</f>
        <v>Putri Maisara</v>
      </c>
      <c r="K701" s="6"/>
      <c r="L701" s="6"/>
      <c r="M701" s="6"/>
      <c r="N701" s="6"/>
      <c r="O701" s="6"/>
      <c r="P701" s="10" t="str">
        <f>IFERROR(__xludf.DUMMYFUNCTION("""COMPUTED_VALUE"""),"Ajeng Suci Nastiti, Putri Maisara")</f>
        <v>Ajeng Suci Nastiti, Putri Maisara</v>
      </c>
      <c r="Q701" s="11" t="str">
        <f>IFERROR(__xludf.DUMMYFUNCTION("""COMPUTED_VALUE"""),"https://publikasi.dinus.ac.id/index.php/JMDB/article/view/9344")</f>
        <v>https://publikasi.dinus.ac.id/index.php/JMDB/article/view/9344</v>
      </c>
      <c r="R701" s="6"/>
    </row>
    <row r="702">
      <c r="A702" s="5">
        <f>IFERROR(__xludf.DUMMYFUNCTION("""COMPUTED_VALUE"""),701.0)</f>
        <v>701</v>
      </c>
      <c r="B702" s="6" t="str">
        <f>IFERROR(__xludf.DUMMYFUNCTION("""COMPUTED_VALUE"""),"Pengaruh Ulasan Produk, Pengendalian Diri, Influencer Dan Shopping Lifestyle Terhadap Perilaku Konsumtif Berbelanja Online Di Tiktokshop")</f>
        <v>Pengaruh Ulasan Produk, Pengendalian Diri, Influencer Dan Shopping Lifestyle Terhadap Perilaku Konsumtif Berbelanja Online Di Tiktokshop</v>
      </c>
      <c r="C702" s="7">
        <f>IFERROR(__xludf.DUMMYFUNCTION("""COMPUTED_VALUE"""),2023.0)</f>
        <v>2023</v>
      </c>
      <c r="D702" s="8" t="str">
        <f>IFERROR(__xludf.DUMMYFUNCTION("""COMPUTED_VALUE"""),"2023/2024")</f>
        <v>2023/2024</v>
      </c>
      <c r="E702" s="9">
        <f>IFERROR(__xludf.DUMMYFUNCTION("""COMPUTED_VALUE"""),45260.0)</f>
        <v>45260</v>
      </c>
      <c r="F702" s="5" t="str">
        <f>IFERROR(__xludf.DUMMYFUNCTION("""COMPUTED_VALUE"""),"Ganjil")</f>
        <v>Ganjil</v>
      </c>
      <c r="G702" s="5" t="str">
        <f>IFERROR(__xludf.DUMMYFUNCTION("""COMPUTED_VALUE"""),"Manajemen")</f>
        <v>Manajemen</v>
      </c>
      <c r="H702" s="10" t="str">
        <f>IFERROR(__xludf.DUMMYFUNCTION("""COMPUTED_VALUE"""),"Mahasiswa")</f>
        <v>Mahasiswa</v>
      </c>
      <c r="I702" s="6" t="str">
        <f>IFERROR(__xludf.DUMMYFUNCTION("""COMPUTED_VALUE"""),"Vetty Marlina")</f>
        <v>Vetty Marlina</v>
      </c>
      <c r="J702" s="6" t="str">
        <f>IFERROR(__xludf.DUMMYFUNCTION("""COMPUTED_VALUE"""),"Atik Lusia")</f>
        <v>Atik Lusia</v>
      </c>
      <c r="K702" s="6"/>
      <c r="L702" s="6"/>
      <c r="M702" s="6"/>
      <c r="N702" s="6"/>
      <c r="O702" s="6"/>
      <c r="P702" s="10" t="str">
        <f>IFERROR(__xludf.DUMMYFUNCTION("""COMPUTED_VALUE"""),"Vetty Marlina, Atik Lusia")</f>
        <v>Vetty Marlina, Atik Lusia</v>
      </c>
      <c r="Q702" s="11" t="str">
        <f>IFERROR(__xludf.DUMMYFUNCTION("""COMPUTED_VALUE"""),"https://sj.eastasouth-institute.com/index.php/smb/article/view/119")</f>
        <v>https://sj.eastasouth-institute.com/index.php/smb/article/view/119</v>
      </c>
      <c r="R702" s="6"/>
    </row>
    <row r="703">
      <c r="A703" s="5">
        <f>IFERROR(__xludf.DUMMYFUNCTION("""COMPUTED_VALUE"""),702.0)</f>
        <v>702</v>
      </c>
      <c r="B703" s="6" t="str">
        <f>IFERROR(__xludf.DUMMYFUNCTION("""COMPUTED_VALUE"""),"Perilaku Konsumsi Berkelanjutan (Sustainable Consumption Behavior) Di Indonesia: Peran Environmental Concern, Perceived Consumer Effectiveness Dan Altruism")</f>
        <v>Perilaku Konsumsi Berkelanjutan (Sustainable Consumption Behavior) Di Indonesia: Peran Environmental Concern, Perceived Consumer Effectiveness Dan Altruism</v>
      </c>
      <c r="C703" s="7">
        <f>IFERROR(__xludf.DUMMYFUNCTION("""COMPUTED_VALUE"""),2023.0)</f>
        <v>2023</v>
      </c>
      <c r="D703" s="8" t="str">
        <f>IFERROR(__xludf.DUMMYFUNCTION("""COMPUTED_VALUE"""),"2023/2024")</f>
        <v>2023/2024</v>
      </c>
      <c r="E703" s="9">
        <f>IFERROR(__xludf.DUMMYFUNCTION("""COMPUTED_VALUE"""),45269.0)</f>
        <v>45269</v>
      </c>
      <c r="F703" s="5" t="str">
        <f>IFERROR(__xludf.DUMMYFUNCTION("""COMPUTED_VALUE"""),"Ganjil")</f>
        <v>Ganjil</v>
      </c>
      <c r="G703" s="5" t="str">
        <f>IFERROR(__xludf.DUMMYFUNCTION("""COMPUTED_VALUE"""),"Manajemen")</f>
        <v>Manajemen</v>
      </c>
      <c r="H703" s="10" t="str">
        <f>IFERROR(__xludf.DUMMYFUNCTION("""COMPUTED_VALUE"""),"Dosen")</f>
        <v>Dosen</v>
      </c>
      <c r="I703" s="6" t="str">
        <f>IFERROR(__xludf.DUMMYFUNCTION("""COMPUTED_VALUE"""),"A. Nurul Suci Amaliah")</f>
        <v>A. Nurul Suci Amaliah</v>
      </c>
      <c r="J703" s="6" t="str">
        <f>IFERROR(__xludf.DUMMYFUNCTION("""COMPUTED_VALUE"""),"Putri Maisara")</f>
        <v>Putri Maisara</v>
      </c>
      <c r="K703" s="6" t="str">
        <f>IFERROR(__xludf.DUMMYFUNCTION("""COMPUTED_VALUE"""),"Saifullah Waspada")</f>
        <v>Saifullah Waspada</v>
      </c>
      <c r="L703" s="6" t="str">
        <f>IFERROR(__xludf.DUMMYFUNCTION("""COMPUTED_VALUE"""),"Andi Armayani")</f>
        <v>Andi Armayani</v>
      </c>
      <c r="M703" s="6"/>
      <c r="N703" s="6"/>
      <c r="O703" s="6"/>
      <c r="P703" s="10"/>
      <c r="Q703" s="11" t="str">
        <f>IFERROR(__xludf.DUMMYFUNCTION("""COMPUTED_VALUE"""),"https://ejournal.unp.ac.id/index.php/jipe/article/view/126145")</f>
        <v>https://ejournal.unp.ac.id/index.php/jipe/article/view/126145</v>
      </c>
      <c r="R703" s="6"/>
    </row>
    <row r="704">
      <c r="A704" s="5">
        <f>IFERROR(__xludf.DUMMYFUNCTION("""COMPUTED_VALUE"""),703.0)</f>
        <v>703</v>
      </c>
      <c r="B704" s="6" t="str">
        <f>IFERROR(__xludf.DUMMYFUNCTION("""COMPUTED_VALUE"""),"FAKTOR PENENTU KEPATUHAN WAJIB PAJAK UMKM DI SURAKARTA")</f>
        <v>FAKTOR PENENTU KEPATUHAN WAJIB PAJAK UMKM DI SURAKARTA</v>
      </c>
      <c r="C704" s="7">
        <f>IFERROR(__xludf.DUMMYFUNCTION("""COMPUTED_VALUE"""),2023.0)</f>
        <v>2023</v>
      </c>
      <c r="D704" s="8" t="str">
        <f>IFERROR(__xludf.DUMMYFUNCTION("""COMPUTED_VALUE"""),"2023/2024")</f>
        <v>2023/2024</v>
      </c>
      <c r="E704" s="9">
        <f>IFERROR(__xludf.DUMMYFUNCTION("""COMPUTED_VALUE"""),45270.0)</f>
        <v>45270</v>
      </c>
      <c r="F704" s="5" t="str">
        <f>IFERROR(__xludf.DUMMYFUNCTION("""COMPUTED_VALUE"""),"Ganjil")</f>
        <v>Ganjil</v>
      </c>
      <c r="G704" s="5" t="str">
        <f>IFERROR(__xludf.DUMMYFUNCTION("""COMPUTED_VALUE"""),"Akuntansi")</f>
        <v>Akuntansi</v>
      </c>
      <c r="H704" s="10" t="str">
        <f>IFERROR(__xludf.DUMMYFUNCTION("""COMPUTED_VALUE"""),"Mahasiswa")</f>
        <v>Mahasiswa</v>
      </c>
      <c r="I704" s="6" t="str">
        <f>IFERROR(__xludf.DUMMYFUNCTION("""COMPUTED_VALUE"""),"Shintiya Nur Jannah")</f>
        <v>Shintiya Nur Jannah</v>
      </c>
      <c r="J704" s="6" t="str">
        <f>IFERROR(__xludf.DUMMYFUNCTION("""COMPUTED_VALUE"""),"Arif Farida")</f>
        <v>Arif Farida</v>
      </c>
      <c r="K704" s="6"/>
      <c r="L704" s="6"/>
      <c r="M704" s="6"/>
      <c r="N704" s="6"/>
      <c r="O704" s="6"/>
      <c r="P704" s="10" t="str">
        <f>IFERROR(__xludf.DUMMYFUNCTION("""COMPUTED_VALUE"""),"Shintiya Nur Jannah, Arif Farida")</f>
        <v>Shintiya Nur Jannah, Arif Farida</v>
      </c>
      <c r="Q704" s="11" t="str">
        <f>IFERROR(__xludf.DUMMYFUNCTION("""COMPUTED_VALUE"""),"https://ejournal.nusantaraglobal.ac.id/index.php/sentri/article/view/1907")</f>
        <v>https://ejournal.nusantaraglobal.ac.id/index.php/sentri/article/view/1907</v>
      </c>
      <c r="R704" s="6"/>
    </row>
    <row r="705">
      <c r="A705" s="5">
        <f>IFERROR(__xludf.DUMMYFUNCTION("""COMPUTED_VALUE"""),704.0)</f>
        <v>704</v>
      </c>
      <c r="B705" s="6" t="str">
        <f>IFERROR(__xludf.DUMMYFUNCTION("""COMPUTED_VALUE"""),"Pengaruh Product Innovation, Co-Branding, dan Limited Edition Terhadap Minat Beli Konsumen (Studi Kasus Konsumen Sepatu Aerostreet di Kota Surakarta)")</f>
        <v>Pengaruh Product Innovation, Co-Branding, dan Limited Edition Terhadap Minat Beli Konsumen (Studi Kasus Konsumen Sepatu Aerostreet di Kota Surakarta)</v>
      </c>
      <c r="C705" s="7">
        <f>IFERROR(__xludf.DUMMYFUNCTION("""COMPUTED_VALUE"""),2023.0)</f>
        <v>2023</v>
      </c>
      <c r="D705" s="8" t="str">
        <f>IFERROR(__xludf.DUMMYFUNCTION("""COMPUTED_VALUE"""),"2023/2024")</f>
        <v>2023/2024</v>
      </c>
      <c r="E705" s="9">
        <f>IFERROR(__xludf.DUMMYFUNCTION("""COMPUTED_VALUE"""),45273.0)</f>
        <v>45273</v>
      </c>
      <c r="F705" s="5" t="str">
        <f>IFERROR(__xludf.DUMMYFUNCTION("""COMPUTED_VALUE"""),"Ganjil")</f>
        <v>Ganjil</v>
      </c>
      <c r="G705" s="5" t="str">
        <f>IFERROR(__xludf.DUMMYFUNCTION("""COMPUTED_VALUE"""),"Manajemen")</f>
        <v>Manajemen</v>
      </c>
      <c r="H705" s="10" t="str">
        <f>IFERROR(__xludf.DUMMYFUNCTION("""COMPUTED_VALUE"""),"Mahasiswa")</f>
        <v>Mahasiswa</v>
      </c>
      <c r="I705" s="6" t="str">
        <f>IFERROR(__xludf.DUMMYFUNCTION("""COMPUTED_VALUE"""),"Ahmad Tri Nugroho")</f>
        <v>Ahmad Tri Nugroho</v>
      </c>
      <c r="J705" s="6" t="str">
        <f>IFERROR(__xludf.DUMMYFUNCTION("""COMPUTED_VALUE"""),"Budi Istiyanto")</f>
        <v>Budi Istiyanto</v>
      </c>
      <c r="K705" s="6"/>
      <c r="L705" s="6"/>
      <c r="M705" s="6"/>
      <c r="N705" s="6"/>
      <c r="O705" s="6"/>
      <c r="P705" s="10" t="str">
        <f>IFERROR(__xludf.DUMMYFUNCTION("""COMPUTED_VALUE"""),"Ahmad Tri Nugroho, Budi Istiyanto")</f>
        <v>Ahmad Tri Nugroho, Budi Istiyanto</v>
      </c>
      <c r="Q705" s="11" t="str">
        <f>IFERROR(__xludf.DUMMYFUNCTION("""COMPUTED_VALUE"""),"https://repository.stiesurakarta.ac.id/submission/0ae43366-478f-4a47-a93e-f6cb5d8e9852")</f>
        <v>https://repository.stiesurakarta.ac.id/submission/0ae43366-478f-4a47-a93e-f6cb5d8e9852</v>
      </c>
      <c r="R705" s="6"/>
    </row>
    <row r="706">
      <c r="A706" s="5">
        <f>IFERROR(__xludf.DUMMYFUNCTION("""COMPUTED_VALUE"""),705.0)</f>
        <v>705</v>
      </c>
      <c r="B706" s="6" t="str">
        <f>IFERROR(__xludf.DUMMYFUNCTION("""COMPUTED_VALUE"""),"Pengaruh Kualitas Layanan, Kepuasan Pelanggan dan Kepercayaan Merk Terhadap Pembelian Ulang di Mc Donald's Solo")</f>
        <v>Pengaruh Kualitas Layanan, Kepuasan Pelanggan dan Kepercayaan Merk Terhadap Pembelian Ulang di Mc Donald's Solo</v>
      </c>
      <c r="C706" s="7">
        <f>IFERROR(__xludf.DUMMYFUNCTION("""COMPUTED_VALUE"""),2023.0)</f>
        <v>2023</v>
      </c>
      <c r="D706" s="8" t="str">
        <f>IFERROR(__xludf.DUMMYFUNCTION("""COMPUTED_VALUE"""),"2023/2024")</f>
        <v>2023/2024</v>
      </c>
      <c r="E706" s="9">
        <f>IFERROR(__xludf.DUMMYFUNCTION("""COMPUTED_VALUE"""),45273.0)</f>
        <v>45273</v>
      </c>
      <c r="F706" s="5" t="str">
        <f>IFERROR(__xludf.DUMMYFUNCTION("""COMPUTED_VALUE"""),"Ganjil")</f>
        <v>Ganjil</v>
      </c>
      <c r="G706" s="5" t="str">
        <f>IFERROR(__xludf.DUMMYFUNCTION("""COMPUTED_VALUE"""),"Manajemen")</f>
        <v>Manajemen</v>
      </c>
      <c r="H706" s="10" t="str">
        <f>IFERROR(__xludf.DUMMYFUNCTION("""COMPUTED_VALUE"""),"Mahasiswa")</f>
        <v>Mahasiswa</v>
      </c>
      <c r="I706" s="6" t="str">
        <f>IFERROR(__xludf.DUMMYFUNCTION("""COMPUTED_VALUE"""),"Meilia Reza Susanti")</f>
        <v>Meilia Reza Susanti</v>
      </c>
      <c r="J706" s="6" t="str">
        <f>IFERROR(__xludf.DUMMYFUNCTION("""COMPUTED_VALUE"""),"Christiawan Hendratmoko")</f>
        <v>Christiawan Hendratmoko</v>
      </c>
      <c r="K706" s="6"/>
      <c r="L706" s="6"/>
      <c r="M706" s="6"/>
      <c r="N706" s="6"/>
      <c r="O706" s="6"/>
      <c r="P706" s="10" t="str">
        <f>IFERROR(__xludf.DUMMYFUNCTION("""COMPUTED_VALUE"""),"Meilia Reza Susanti, Christiawan Hendratmoko")</f>
        <v>Meilia Reza Susanti, Christiawan Hendratmoko</v>
      </c>
      <c r="Q706" s="11" t="str">
        <f>IFERROR(__xludf.DUMMYFUNCTION("""COMPUTED_VALUE"""),"https://repository.stiesurakarta.ac.id/submission/eae7998a-83fa-48d5-965d-429abed9146e")</f>
        <v>https://repository.stiesurakarta.ac.id/submission/eae7998a-83fa-48d5-965d-429abed9146e</v>
      </c>
      <c r="R706" s="6"/>
    </row>
    <row r="707">
      <c r="A707" s="5">
        <f>IFERROR(__xludf.DUMMYFUNCTION("""COMPUTED_VALUE"""),706.0)</f>
        <v>706</v>
      </c>
      <c r="B707" s="6" t="str">
        <f>IFERROR(__xludf.DUMMYFUNCTION("""COMPUTED_VALUE"""),"Pengaruh Kepemimpinan, Kompensasi dan Disiplin Kerja Terhadap Produktivitas Kerja Crew pada Arabella Wedding Organizer")</f>
        <v>Pengaruh Kepemimpinan, Kompensasi dan Disiplin Kerja Terhadap Produktivitas Kerja Crew pada Arabella Wedding Organizer</v>
      </c>
      <c r="C707" s="7">
        <f>IFERROR(__xludf.DUMMYFUNCTION("""COMPUTED_VALUE"""),2023.0)</f>
        <v>2023</v>
      </c>
      <c r="D707" s="8" t="str">
        <f>IFERROR(__xludf.DUMMYFUNCTION("""COMPUTED_VALUE"""),"2023/2024")</f>
        <v>2023/2024</v>
      </c>
      <c r="E707" s="9">
        <f>IFERROR(__xludf.DUMMYFUNCTION("""COMPUTED_VALUE"""),45273.0)</f>
        <v>45273</v>
      </c>
      <c r="F707" s="5" t="str">
        <f>IFERROR(__xludf.DUMMYFUNCTION("""COMPUTED_VALUE"""),"Ganjil")</f>
        <v>Ganjil</v>
      </c>
      <c r="G707" s="5" t="str">
        <f>IFERROR(__xludf.DUMMYFUNCTION("""COMPUTED_VALUE"""),"Manajemen")</f>
        <v>Manajemen</v>
      </c>
      <c r="H707" s="10" t="str">
        <f>IFERROR(__xludf.DUMMYFUNCTION("""COMPUTED_VALUE"""),"Mahasiswa")</f>
        <v>Mahasiswa</v>
      </c>
      <c r="I707" s="6" t="str">
        <f>IFERROR(__xludf.DUMMYFUNCTION("""COMPUTED_VALUE"""),"Rezky Adi Santosa")</f>
        <v>Rezky Adi Santosa</v>
      </c>
      <c r="J707" s="6" t="str">
        <f>IFERROR(__xludf.DUMMYFUNCTION("""COMPUTED_VALUE"""),"Putri Maisara")</f>
        <v>Putri Maisara</v>
      </c>
      <c r="K707" s="6"/>
      <c r="L707" s="6"/>
      <c r="M707" s="6"/>
      <c r="N707" s="6"/>
      <c r="O707" s="6"/>
      <c r="P707" s="10" t="str">
        <f>IFERROR(__xludf.DUMMYFUNCTION("""COMPUTED_VALUE"""),"Rezky Adi Santosa, Putri Maisara")</f>
        <v>Rezky Adi Santosa, Putri Maisara</v>
      </c>
      <c r="Q707" s="11" t="str">
        <f>IFERROR(__xludf.DUMMYFUNCTION("""COMPUTED_VALUE"""),"https://repository.stiesurakarta.ac.id/submission/90a7ad06-ea38-42f4-b3e5-2a13935de100")</f>
        <v>https://repository.stiesurakarta.ac.id/submission/90a7ad06-ea38-42f4-b3e5-2a13935de100</v>
      </c>
      <c r="R707" s="6"/>
    </row>
    <row r="708">
      <c r="A708" s="5">
        <f>IFERROR(__xludf.DUMMYFUNCTION("""COMPUTED_VALUE"""),707.0)</f>
        <v>707</v>
      </c>
      <c r="B708" s="6" t="str">
        <f>IFERROR(__xludf.DUMMYFUNCTION("""COMPUTED_VALUE"""),"Pengaruh Kesadaran Wajib Pajak Sanksi Pajak Pengetahuan Pajak Terhadap Kepatuhan Wajib Pajak Kendaraan Bermotor (Studi Kasus Kantor Samsat Kabupaten Wonogiri)")</f>
        <v>Pengaruh Kesadaran Wajib Pajak Sanksi Pajak Pengetahuan Pajak Terhadap Kepatuhan Wajib Pajak Kendaraan Bermotor (Studi Kasus Kantor Samsat Kabupaten Wonogiri)</v>
      </c>
      <c r="C708" s="7">
        <f>IFERROR(__xludf.DUMMYFUNCTION("""COMPUTED_VALUE"""),2023.0)</f>
        <v>2023</v>
      </c>
      <c r="D708" s="8" t="str">
        <f>IFERROR(__xludf.DUMMYFUNCTION("""COMPUTED_VALUE"""),"2023/2024")</f>
        <v>2023/2024</v>
      </c>
      <c r="E708" s="9">
        <f>IFERROR(__xludf.DUMMYFUNCTION("""COMPUTED_VALUE"""),45273.0)</f>
        <v>45273</v>
      </c>
      <c r="F708" s="5" t="str">
        <f>IFERROR(__xludf.DUMMYFUNCTION("""COMPUTED_VALUE"""),"Ganjil")</f>
        <v>Ganjil</v>
      </c>
      <c r="G708" s="5" t="str">
        <f>IFERROR(__xludf.DUMMYFUNCTION("""COMPUTED_VALUE"""),"Akuntansi")</f>
        <v>Akuntansi</v>
      </c>
      <c r="H708" s="10" t="str">
        <f>IFERROR(__xludf.DUMMYFUNCTION("""COMPUTED_VALUE"""),"Mahasiswa")</f>
        <v>Mahasiswa</v>
      </c>
      <c r="I708" s="6" t="str">
        <f>IFERROR(__xludf.DUMMYFUNCTION("""COMPUTED_VALUE"""),"Gurit Budi Santoso")</f>
        <v>Gurit Budi Santoso</v>
      </c>
      <c r="J708" s="6" t="str">
        <f>IFERROR(__xludf.DUMMYFUNCTION("""COMPUTED_VALUE"""),"Arif Farida")</f>
        <v>Arif Farida</v>
      </c>
      <c r="K708" s="6"/>
      <c r="L708" s="6"/>
      <c r="M708" s="6"/>
      <c r="N708" s="6"/>
      <c r="O708" s="6"/>
      <c r="P708" s="10" t="str">
        <f>IFERROR(__xludf.DUMMYFUNCTION("""COMPUTED_VALUE"""),"Gurit Budi Santoso, Arif Farida")</f>
        <v>Gurit Budi Santoso, Arif Farida</v>
      </c>
      <c r="Q708" s="11" t="str">
        <f>IFERROR(__xludf.DUMMYFUNCTION("""COMPUTED_VALUE"""),"https://repository.stiesurakarta.ac.id/submission/a686e8b5-f37c-486e-84c8-6632455c7d4a")</f>
        <v>https://repository.stiesurakarta.ac.id/submission/a686e8b5-f37c-486e-84c8-6632455c7d4a</v>
      </c>
      <c r="R708" s="6"/>
    </row>
    <row r="709">
      <c r="A709" s="5">
        <f>IFERROR(__xludf.DUMMYFUNCTION("""COMPUTED_VALUE"""),708.0)</f>
        <v>708</v>
      </c>
      <c r="B709" s="6" t="str">
        <f>IFERROR(__xludf.DUMMYFUNCTION("""COMPUTED_VALUE"""),"Analisis Kontribusi, Efektivitas, Laju Pertumbuhan Pajak Hotel Terhadap Pendapatan Asli Daerah Kabupaten Sukoharjo")</f>
        <v>Analisis Kontribusi, Efektivitas, Laju Pertumbuhan Pajak Hotel Terhadap Pendapatan Asli Daerah Kabupaten Sukoharjo</v>
      </c>
      <c r="C709" s="7">
        <f>IFERROR(__xludf.DUMMYFUNCTION("""COMPUTED_VALUE"""),2023.0)</f>
        <v>2023</v>
      </c>
      <c r="D709" s="8" t="str">
        <f>IFERROR(__xludf.DUMMYFUNCTION("""COMPUTED_VALUE"""),"2023/2024")</f>
        <v>2023/2024</v>
      </c>
      <c r="E709" s="9">
        <f>IFERROR(__xludf.DUMMYFUNCTION("""COMPUTED_VALUE"""),45273.0)</f>
        <v>45273</v>
      </c>
      <c r="F709" s="5" t="str">
        <f>IFERROR(__xludf.DUMMYFUNCTION("""COMPUTED_VALUE"""),"Ganjil")</f>
        <v>Ganjil</v>
      </c>
      <c r="G709" s="5" t="str">
        <f>IFERROR(__xludf.DUMMYFUNCTION("""COMPUTED_VALUE"""),"Akuntansi")</f>
        <v>Akuntansi</v>
      </c>
      <c r="H709" s="10" t="str">
        <f>IFERROR(__xludf.DUMMYFUNCTION("""COMPUTED_VALUE"""),"Mahasiswa")</f>
        <v>Mahasiswa</v>
      </c>
      <c r="I709" s="6" t="str">
        <f>IFERROR(__xludf.DUMMYFUNCTION("""COMPUTED_VALUE"""),"Clara Permata Sari")</f>
        <v>Clara Permata Sari</v>
      </c>
      <c r="J709" s="6" t="str">
        <f>IFERROR(__xludf.DUMMYFUNCTION("""COMPUTED_VALUE"""),"Nur Kholis")</f>
        <v>Nur Kholis</v>
      </c>
      <c r="K709" s="6"/>
      <c r="L709" s="6"/>
      <c r="M709" s="6"/>
      <c r="N709" s="6"/>
      <c r="O709" s="6"/>
      <c r="P709" s="10" t="str">
        <f>IFERROR(__xludf.DUMMYFUNCTION("""COMPUTED_VALUE"""),"Clara Permata Sari, Nur Kholis")</f>
        <v>Clara Permata Sari, Nur Kholis</v>
      </c>
      <c r="Q709" s="11" t="str">
        <f>IFERROR(__xludf.DUMMYFUNCTION("""COMPUTED_VALUE"""),"https://repository.stiesurakarta.ac.id/submission/ee1fc722-f5b8-489f-a070-201f5353e99c")</f>
        <v>https://repository.stiesurakarta.ac.id/submission/ee1fc722-f5b8-489f-a070-201f5353e99c</v>
      </c>
      <c r="R709" s="6"/>
    </row>
    <row r="710">
      <c r="A710" s="5">
        <f>IFERROR(__xludf.DUMMYFUNCTION("""COMPUTED_VALUE"""),709.0)</f>
        <v>709</v>
      </c>
      <c r="B710" s="6" t="str">
        <f>IFERROR(__xludf.DUMMYFUNCTION("""COMPUTED_VALUE"""),"PENGARUH VOLUME PERDAGANGAN, NILAI TUKAR RUPIAH, BI RATE, INFLASI TERHADAP HARGA SAHAM PERUSAHAAN FARMASI YANG TERDAFTAR DI BEI SELAMA COVID-19")</f>
        <v>PENGARUH VOLUME PERDAGANGAN, NILAI TUKAR RUPIAH, BI RATE, INFLASI TERHADAP HARGA SAHAM PERUSAHAAN FARMASI YANG TERDAFTAR DI BEI SELAMA COVID-19</v>
      </c>
      <c r="C710" s="7">
        <f>IFERROR(__xludf.DUMMYFUNCTION("""COMPUTED_VALUE"""),2023.0)</f>
        <v>2023</v>
      </c>
      <c r="D710" s="8" t="str">
        <f>IFERROR(__xludf.DUMMYFUNCTION("""COMPUTED_VALUE"""),"2023/2024")</f>
        <v>2023/2024</v>
      </c>
      <c r="E710" s="9">
        <f>IFERROR(__xludf.DUMMYFUNCTION("""COMPUTED_VALUE"""),45277.0)</f>
        <v>45277</v>
      </c>
      <c r="F710" s="5" t="str">
        <f>IFERROR(__xludf.DUMMYFUNCTION("""COMPUTED_VALUE"""),"Ganjil")</f>
        <v>Ganjil</v>
      </c>
      <c r="G710" s="5" t="str">
        <f>IFERROR(__xludf.DUMMYFUNCTION("""COMPUTED_VALUE"""),"Akuntansi")</f>
        <v>Akuntansi</v>
      </c>
      <c r="H710" s="10" t="str">
        <f>IFERROR(__xludf.DUMMYFUNCTION("""COMPUTED_VALUE"""),"Mahasiswa")</f>
        <v>Mahasiswa</v>
      </c>
      <c r="I710" s="6" t="str">
        <f>IFERROR(__xludf.DUMMYFUNCTION("""COMPUTED_VALUE"""),"Melina Budi Wijayanti")</f>
        <v>Melina Budi Wijayanti</v>
      </c>
      <c r="J710" s="6" t="str">
        <f>IFERROR(__xludf.DUMMYFUNCTION("""COMPUTED_VALUE"""),"Rosita")</f>
        <v>Rosita</v>
      </c>
      <c r="K710" s="6"/>
      <c r="L710" s="6"/>
      <c r="M710" s="6"/>
      <c r="N710" s="6"/>
      <c r="O710" s="6"/>
      <c r="P710" s="10" t="str">
        <f>IFERROR(__xludf.DUMMYFUNCTION("""COMPUTED_VALUE"""),"Melina Budi Wijayanti, Rosita")</f>
        <v>Melina Budi Wijayanti, Rosita</v>
      </c>
      <c r="Q710" s="11" t="str">
        <f>IFERROR(__xludf.DUMMYFUNCTION("""COMPUTED_VALUE"""),"https://journalshub.org/index.php/jebaku/article/view/2565")</f>
        <v>https://journalshub.org/index.php/jebaku/article/view/2565</v>
      </c>
      <c r="R710" s="6"/>
    </row>
    <row r="711">
      <c r="A711" s="5">
        <f>IFERROR(__xludf.DUMMYFUNCTION("""COMPUTED_VALUE"""),710.0)</f>
        <v>710</v>
      </c>
      <c r="B711" s="6" t="str">
        <f>IFERROR(__xludf.DUMMYFUNCTION("""COMPUTED_VALUE"""),"Analisis Efektivitas dan Kontribusi Pajak Daerah sebagai Sumber Pendapatan Asli Daerah Kota Surakarta")</f>
        <v>Analisis Efektivitas dan Kontribusi Pajak Daerah sebagai Sumber Pendapatan Asli Daerah Kota Surakarta</v>
      </c>
      <c r="C711" s="7">
        <f>IFERROR(__xludf.DUMMYFUNCTION("""COMPUTED_VALUE"""),2023.0)</f>
        <v>2023</v>
      </c>
      <c r="D711" s="8" t="str">
        <f>IFERROR(__xludf.DUMMYFUNCTION("""COMPUTED_VALUE"""),"2023/2024")</f>
        <v>2023/2024</v>
      </c>
      <c r="E711" s="9">
        <f>IFERROR(__xludf.DUMMYFUNCTION("""COMPUTED_VALUE"""),45279.0)</f>
        <v>45279</v>
      </c>
      <c r="F711" s="5" t="str">
        <f>IFERROR(__xludf.DUMMYFUNCTION("""COMPUTED_VALUE"""),"Ganjil")</f>
        <v>Ganjil</v>
      </c>
      <c r="G711" s="5" t="str">
        <f>IFERROR(__xludf.DUMMYFUNCTION("""COMPUTED_VALUE"""),"Akuntansi")</f>
        <v>Akuntansi</v>
      </c>
      <c r="H711" s="10" t="str">
        <f>IFERROR(__xludf.DUMMYFUNCTION("""COMPUTED_VALUE"""),"Mahasiswa")</f>
        <v>Mahasiswa</v>
      </c>
      <c r="I711" s="6" t="str">
        <f>IFERROR(__xludf.DUMMYFUNCTION("""COMPUTED_VALUE"""),"Rivan Gilang Pratama")</f>
        <v>Rivan Gilang Pratama</v>
      </c>
      <c r="J711" s="6" t="str">
        <f>IFERROR(__xludf.DUMMYFUNCTION("""COMPUTED_VALUE"""),"Ismunawan")</f>
        <v>Ismunawan</v>
      </c>
      <c r="K711" s="6"/>
      <c r="L711" s="6"/>
      <c r="M711" s="6"/>
      <c r="N711" s="6"/>
      <c r="O711" s="6"/>
      <c r="P711" s="10" t="str">
        <f>IFERROR(__xludf.DUMMYFUNCTION("""COMPUTED_VALUE"""),"Rivan Gilang Pratama, Ismunawan")</f>
        <v>Rivan Gilang Pratama, Ismunawan</v>
      </c>
      <c r="Q711" s="11" t="str">
        <f>IFERROR(__xludf.DUMMYFUNCTION("""COMPUTED_VALUE"""),"https://jurnal.stiesurakarta.ac.id/index.php/jebdeker/article/view/202")</f>
        <v>https://jurnal.stiesurakarta.ac.id/index.php/jebdeker/article/view/202</v>
      </c>
      <c r="R711" s="6"/>
    </row>
    <row r="712">
      <c r="A712" s="5">
        <f>IFERROR(__xludf.DUMMYFUNCTION("""COMPUTED_VALUE"""),711.0)</f>
        <v>711</v>
      </c>
      <c r="B712" s="6" t="str">
        <f>IFERROR(__xludf.DUMMYFUNCTION("""COMPUTED_VALUE"""),"Perhitungan Harga Pokok Produki Perternakan Calesta Farm dengan Penerapan Metode Full Costing")</f>
        <v>Perhitungan Harga Pokok Produki Perternakan Calesta Farm dengan Penerapan Metode Full Costing</v>
      </c>
      <c r="C712" s="7">
        <f>IFERROR(__xludf.DUMMYFUNCTION("""COMPUTED_VALUE"""),2023.0)</f>
        <v>2023</v>
      </c>
      <c r="D712" s="8" t="str">
        <f>IFERROR(__xludf.DUMMYFUNCTION("""COMPUTED_VALUE"""),"2023/2024")</f>
        <v>2023/2024</v>
      </c>
      <c r="E712" s="9">
        <f>IFERROR(__xludf.DUMMYFUNCTION("""COMPUTED_VALUE"""),45280.0)</f>
        <v>45280</v>
      </c>
      <c r="F712" s="5" t="str">
        <f>IFERROR(__xludf.DUMMYFUNCTION("""COMPUTED_VALUE"""),"Ganjil")</f>
        <v>Ganjil</v>
      </c>
      <c r="G712" s="5" t="str">
        <f>IFERROR(__xludf.DUMMYFUNCTION("""COMPUTED_VALUE"""),"Akuntansi")</f>
        <v>Akuntansi</v>
      </c>
      <c r="H712" s="10" t="str">
        <f>IFERROR(__xludf.DUMMYFUNCTION("""COMPUTED_VALUE"""),"Mahasiswa")</f>
        <v>Mahasiswa</v>
      </c>
      <c r="I712" s="6" t="str">
        <f>IFERROR(__xludf.DUMMYFUNCTION("""COMPUTED_VALUE"""),"Yosephin Armita Savaretri")</f>
        <v>Yosephin Armita Savaretri</v>
      </c>
      <c r="J712" s="6" t="str">
        <f>IFERROR(__xludf.DUMMYFUNCTION("""COMPUTED_VALUE"""),"Ismunawan")</f>
        <v>Ismunawan</v>
      </c>
      <c r="K712" s="6"/>
      <c r="L712" s="6"/>
      <c r="M712" s="6"/>
      <c r="N712" s="6"/>
      <c r="O712" s="6"/>
      <c r="P712" s="10" t="str">
        <f>IFERROR(__xludf.DUMMYFUNCTION("""COMPUTED_VALUE"""),"Yosephin Armita Savaretri, Ismunawan")</f>
        <v>Yosephin Armita Savaretri, Ismunawan</v>
      </c>
      <c r="Q712" s="11" t="str">
        <f>IFERROR(__xludf.DUMMYFUNCTION("""COMPUTED_VALUE"""),"https://repository.stiesurakarta.ac.id/submission/aa51df58-66eb-45c4-8883-544cf57f2818")</f>
        <v>https://repository.stiesurakarta.ac.id/submission/aa51df58-66eb-45c4-8883-544cf57f2818</v>
      </c>
      <c r="R712" s="6"/>
    </row>
    <row r="713">
      <c r="A713" s="5">
        <f>IFERROR(__xludf.DUMMYFUNCTION("""COMPUTED_VALUE"""),712.0)</f>
        <v>712</v>
      </c>
      <c r="B713" s="6" t="str">
        <f>IFERROR(__xludf.DUMMYFUNCTION("""COMPUTED_VALUE"""),"Pengaruh Education Fair, Social Media Advertisement Dan Word Of Mouth Terhadap Minat Daftar Perguruan Tinggi Swasta Di Surakarta (Studi Kasus Siswa/Siswi Sma Dan Smk Di Soloraya)")</f>
        <v>Pengaruh Education Fair, Social Media Advertisement Dan Word Of Mouth Terhadap Minat Daftar Perguruan Tinggi Swasta Di Surakarta (Studi Kasus Siswa/Siswi Sma Dan Smk Di Soloraya)</v>
      </c>
      <c r="C713" s="7">
        <f>IFERROR(__xludf.DUMMYFUNCTION("""COMPUTED_VALUE"""),2023.0)</f>
        <v>2023</v>
      </c>
      <c r="D713" s="8" t="str">
        <f>IFERROR(__xludf.DUMMYFUNCTION("""COMPUTED_VALUE"""),"2023/2024")</f>
        <v>2023/2024</v>
      </c>
      <c r="E713" s="9">
        <f>IFERROR(__xludf.DUMMYFUNCTION("""COMPUTED_VALUE"""),45285.0)</f>
        <v>45285</v>
      </c>
      <c r="F713" s="5" t="str">
        <f>IFERROR(__xludf.DUMMYFUNCTION("""COMPUTED_VALUE"""),"Ganjil")</f>
        <v>Ganjil</v>
      </c>
      <c r="G713" s="5" t="str">
        <f>IFERROR(__xludf.DUMMYFUNCTION("""COMPUTED_VALUE"""),"Manajemen")</f>
        <v>Manajemen</v>
      </c>
      <c r="H713" s="10" t="str">
        <f>IFERROR(__xludf.DUMMYFUNCTION("""COMPUTED_VALUE"""),"Dosen")</f>
        <v>Dosen</v>
      </c>
      <c r="I713" s="6" t="str">
        <f>IFERROR(__xludf.DUMMYFUNCTION("""COMPUTED_VALUE"""),"Elida Zia’ul Huda")</f>
        <v>Elida Zia’ul Huda</v>
      </c>
      <c r="J713" s="6" t="str">
        <f>IFERROR(__xludf.DUMMYFUNCTION("""COMPUTED_VALUE"""),"Agus Triatmono")</f>
        <v>Agus Triatmono</v>
      </c>
      <c r="K713" s="6" t="str">
        <f>IFERROR(__xludf.DUMMYFUNCTION("""COMPUTED_VALUE"""),"Budi Istiyanto")</f>
        <v>Budi Istiyanto</v>
      </c>
      <c r="L713" s="6"/>
      <c r="M713" s="6"/>
      <c r="N713" s="6"/>
      <c r="O713" s="6"/>
      <c r="P713" s="10"/>
      <c r="Q713" s="11" t="str">
        <f>IFERROR(__xludf.DUMMYFUNCTION("""COMPUTED_VALUE"""),"https://jurnal.stiesurakarta.ac.id/index.php/jebdeker/article/view/235")</f>
        <v>https://jurnal.stiesurakarta.ac.id/index.php/jebdeker/article/view/235</v>
      </c>
      <c r="R713" s="6"/>
    </row>
    <row r="714">
      <c r="A714" s="5">
        <f>IFERROR(__xludf.DUMMYFUNCTION("""COMPUTED_VALUE"""),713.0)</f>
        <v>713</v>
      </c>
      <c r="B714" s="6" t="str">
        <f>IFERROR(__xludf.DUMMYFUNCTION("""COMPUTED_VALUE"""),"Pemanfaatan Media Social di UMKM CV. Mebel Murah Banget (MMB) di Sukoharjo")</f>
        <v>Pemanfaatan Media Social di UMKM CV. Mebel Murah Banget (MMB) di Sukoharjo</v>
      </c>
      <c r="C714" s="7">
        <f>IFERROR(__xludf.DUMMYFUNCTION("""COMPUTED_VALUE"""),2023.0)</f>
        <v>2023</v>
      </c>
      <c r="D714" s="8" t="str">
        <f>IFERROR(__xludf.DUMMYFUNCTION("""COMPUTED_VALUE"""),"2023/2024")</f>
        <v>2023/2024</v>
      </c>
      <c r="E714" s="9">
        <f>IFERROR(__xludf.DUMMYFUNCTION("""COMPUTED_VALUE"""),45285.0)</f>
        <v>45285</v>
      </c>
      <c r="F714" s="5" t="str">
        <f>IFERROR(__xludf.DUMMYFUNCTION("""COMPUTED_VALUE"""),"Ganjil")</f>
        <v>Ganjil</v>
      </c>
      <c r="G714" s="5" t="str">
        <f>IFERROR(__xludf.DUMMYFUNCTION("""COMPUTED_VALUE"""),"Manajemen")</f>
        <v>Manajemen</v>
      </c>
      <c r="H714" s="10" t="str">
        <f>IFERROR(__xludf.DUMMYFUNCTION("""COMPUTED_VALUE"""),"Dosen")</f>
        <v>Dosen</v>
      </c>
      <c r="I714" s="6" t="str">
        <f>IFERROR(__xludf.DUMMYFUNCTION("""COMPUTED_VALUE"""),"Atik Lusia")</f>
        <v>Atik Lusia</v>
      </c>
      <c r="J714" s="6" t="str">
        <f>IFERROR(__xludf.DUMMYFUNCTION("""COMPUTED_VALUE"""),"Tri Ratna Pamikatsih")</f>
        <v>Tri Ratna Pamikatsih</v>
      </c>
      <c r="K714" s="6" t="str">
        <f>IFERROR(__xludf.DUMMYFUNCTION("""COMPUTED_VALUE"""),"Muhammad Luqman")</f>
        <v>Muhammad Luqman</v>
      </c>
      <c r="L714" s="6" t="str">
        <f>IFERROR(__xludf.DUMMYFUNCTION("""COMPUTED_VALUE"""),"AjiHemawan")</f>
        <v>AjiHemawan</v>
      </c>
      <c r="M714" s="6"/>
      <c r="N714" s="6"/>
      <c r="O714" s="6"/>
      <c r="P714" s="10"/>
      <c r="Q714" s="11" t="str">
        <f>IFERROR(__xludf.DUMMYFUNCTION("""COMPUTED_VALUE"""),"https://jurnalpengabdian.stiesurakarta.ac.id/index.php/Dms/article/view/46/33")</f>
        <v>https://jurnalpengabdian.stiesurakarta.ac.id/index.php/Dms/article/view/46/33</v>
      </c>
      <c r="R714" s="6"/>
    </row>
    <row r="715">
      <c r="A715" s="5">
        <f>IFERROR(__xludf.DUMMYFUNCTION("""COMPUTED_VALUE"""),714.0)</f>
        <v>714</v>
      </c>
      <c r="B715" s="6" t="str">
        <f>IFERROR(__xludf.DUMMYFUNCTION("""COMPUTED_VALUE"""),"Branding (Elemen Pemasaran yang Efektif)")</f>
        <v>Branding (Elemen Pemasaran yang Efektif)</v>
      </c>
      <c r="C715" s="7">
        <f>IFERROR(__xludf.DUMMYFUNCTION("""COMPUTED_VALUE"""),2023.0)</f>
        <v>2023</v>
      </c>
      <c r="D715" s="8" t="str">
        <f>IFERROR(__xludf.DUMMYFUNCTION("""COMPUTED_VALUE"""),"2023/2024")</f>
        <v>2023/2024</v>
      </c>
      <c r="E715" s="9">
        <f>IFERROR(__xludf.DUMMYFUNCTION("""COMPUTED_VALUE"""),45286.0)</f>
        <v>45286</v>
      </c>
      <c r="F715" s="5" t="str">
        <f>IFERROR(__xludf.DUMMYFUNCTION("""COMPUTED_VALUE"""),"Ganjil")</f>
        <v>Ganjil</v>
      </c>
      <c r="G715" s="5" t="str">
        <f>IFERROR(__xludf.DUMMYFUNCTION("""COMPUTED_VALUE"""),"Manajemen")</f>
        <v>Manajemen</v>
      </c>
      <c r="H715" s="10" t="str">
        <f>IFERROR(__xludf.DUMMYFUNCTION("""COMPUTED_VALUE"""),"Dosen")</f>
        <v>Dosen</v>
      </c>
      <c r="I715" s="6" t="str">
        <f>IFERROR(__xludf.DUMMYFUNCTION("""COMPUTED_VALUE"""),"Budi Istiyanto")</f>
        <v>Budi Istiyanto</v>
      </c>
      <c r="J715" s="6"/>
      <c r="K715" s="6"/>
      <c r="L715" s="6"/>
      <c r="M715" s="6"/>
      <c r="N715" s="6"/>
      <c r="O715" s="6"/>
      <c r="P715" s="10"/>
      <c r="Q715" s="11" t="str">
        <f>IFERROR(__xludf.DUMMYFUNCTION("""COMPUTED_VALUE"""),"https://drive.google.com/file/d/1uzwqRZUTbT0g7CTvEXNuT1x82GNYl-3e/view?usp=sharing")</f>
        <v>https://drive.google.com/file/d/1uzwqRZUTbT0g7CTvEXNuT1x82GNYl-3e/view?usp=sharing</v>
      </c>
      <c r="R715" s="6"/>
    </row>
    <row r="716">
      <c r="A716" s="5">
        <f>IFERROR(__xludf.DUMMYFUNCTION("""COMPUTED_VALUE"""),715.0)</f>
        <v>715</v>
      </c>
      <c r="B716" s="6" t="str">
        <f>IFERROR(__xludf.DUMMYFUNCTION("""COMPUTED_VALUE"""),"Manajemen Kewirausahaan")</f>
        <v>Manajemen Kewirausahaan</v>
      </c>
      <c r="C716" s="7">
        <f>IFERROR(__xludf.DUMMYFUNCTION("""COMPUTED_VALUE"""),2023.0)</f>
        <v>2023</v>
      </c>
      <c r="D716" s="8" t="str">
        <f>IFERROR(__xludf.DUMMYFUNCTION("""COMPUTED_VALUE"""),"2023/2024")</f>
        <v>2023/2024</v>
      </c>
      <c r="E716" s="9">
        <f>IFERROR(__xludf.DUMMYFUNCTION("""COMPUTED_VALUE"""),45286.0)</f>
        <v>45286</v>
      </c>
      <c r="F716" s="5" t="str">
        <f>IFERROR(__xludf.DUMMYFUNCTION("""COMPUTED_VALUE"""),"Ganjil")</f>
        <v>Ganjil</v>
      </c>
      <c r="G716" s="5" t="str">
        <f>IFERROR(__xludf.DUMMYFUNCTION("""COMPUTED_VALUE"""),"Manajemen")</f>
        <v>Manajemen</v>
      </c>
      <c r="H716" s="10" t="str">
        <f>IFERROR(__xludf.DUMMYFUNCTION("""COMPUTED_VALUE"""),"Dosen")</f>
        <v>Dosen</v>
      </c>
      <c r="I716" s="6" t="str">
        <f>IFERROR(__xludf.DUMMYFUNCTION("""COMPUTED_VALUE"""),"Muhammad Luqman Hakim")</f>
        <v>Muhammad Luqman Hakim</v>
      </c>
      <c r="J716" s="6"/>
      <c r="K716" s="6"/>
      <c r="L716" s="6"/>
      <c r="M716" s="6"/>
      <c r="N716" s="6"/>
      <c r="O716" s="6"/>
      <c r="P716" s="10"/>
      <c r="Q716" s="11" t="str">
        <f>IFERROR(__xludf.DUMMYFUNCTION("""COMPUTED_VALUE"""),"https://drive.google.com/file/d/1eEc1E9zLQb6BsKHSHJ7hEiQkuHrGd85r/view?usp=sharing")</f>
        <v>https://drive.google.com/file/d/1eEc1E9zLQb6BsKHSHJ7hEiQkuHrGd85r/view?usp=sharing</v>
      </c>
      <c r="R716" s="6"/>
    </row>
    <row r="717">
      <c r="A717" s="5">
        <f>IFERROR(__xludf.DUMMYFUNCTION("""COMPUTED_VALUE"""),716.0)</f>
        <v>716</v>
      </c>
      <c r="B717" s="6" t="str">
        <f>IFERROR(__xludf.DUMMYFUNCTION("""COMPUTED_VALUE"""),"Does Financial Literacy Affect Decisions Regarding Gold Investments? Risk Perception, Income, and Financial Behavior of the Surakarta Community")</f>
        <v>Does Financial Literacy Affect Decisions Regarding Gold Investments? Risk Perception, Income, and Financial Behavior of the Surakarta Community</v>
      </c>
      <c r="C717" s="7">
        <f>IFERROR(__xludf.DUMMYFUNCTION("""COMPUTED_VALUE"""),2023.0)</f>
        <v>2023</v>
      </c>
      <c r="D717" s="8" t="str">
        <f>IFERROR(__xludf.DUMMYFUNCTION("""COMPUTED_VALUE"""),"2023/2024")</f>
        <v>2023/2024</v>
      </c>
      <c r="E717" s="9">
        <f>IFERROR(__xludf.DUMMYFUNCTION("""COMPUTED_VALUE"""),45286.0)</f>
        <v>45286</v>
      </c>
      <c r="F717" s="5" t="str">
        <f>IFERROR(__xludf.DUMMYFUNCTION("""COMPUTED_VALUE"""),"Ganjil")</f>
        <v>Ganjil</v>
      </c>
      <c r="G717" s="5" t="str">
        <f>IFERROR(__xludf.DUMMYFUNCTION("""COMPUTED_VALUE"""),"Manajemen")</f>
        <v>Manajemen</v>
      </c>
      <c r="H717" s="10" t="str">
        <f>IFERROR(__xludf.DUMMYFUNCTION("""COMPUTED_VALUE"""),"Dosen")</f>
        <v>Dosen</v>
      </c>
      <c r="I717" s="6" t="str">
        <f>IFERROR(__xludf.DUMMYFUNCTION("""COMPUTED_VALUE"""),"Ari Susanti")</f>
        <v>Ari Susanti</v>
      </c>
      <c r="J717" s="6" t="str">
        <f>IFERROR(__xludf.DUMMYFUNCTION("""COMPUTED_VALUE"""),"Arif Farida")</f>
        <v>Arif Farida</v>
      </c>
      <c r="K717" s="6" t="str">
        <f>IFERROR(__xludf.DUMMYFUNCTION("""COMPUTED_VALUE"""),"Elia Ardyan")</f>
        <v>Elia Ardyan</v>
      </c>
      <c r="L717" s="6"/>
      <c r="M717" s="6"/>
      <c r="N717" s="6"/>
      <c r="O717" s="6"/>
      <c r="P717" s="10"/>
      <c r="Q717" s="11" t="str">
        <f>IFERROR(__xludf.DUMMYFUNCTION("""COMPUTED_VALUE"""),"https://www.ijebmr.com/link/1284")</f>
        <v>https://www.ijebmr.com/link/1284</v>
      </c>
      <c r="R717" s="6"/>
    </row>
    <row r="718">
      <c r="A718" s="5">
        <f>IFERROR(__xludf.DUMMYFUNCTION("""COMPUTED_VALUE"""),717.0)</f>
        <v>717</v>
      </c>
      <c r="B718" s="6" t="str">
        <f>IFERROR(__xludf.DUMMYFUNCTION("""COMPUTED_VALUE"""),"Pengaruh Kualitas Makanan, Suasana Cafe dan Kelompok Referensi Terhadap Keputusan PembeHan di Haluan Kopi Solo")</f>
        <v>Pengaruh Kualitas Makanan, Suasana Cafe dan Kelompok Referensi Terhadap Keputusan PembeHan di Haluan Kopi Solo</v>
      </c>
      <c r="C718" s="7">
        <f>IFERROR(__xludf.DUMMYFUNCTION("""COMPUTED_VALUE"""),2023.0)</f>
        <v>2023</v>
      </c>
      <c r="D718" s="8" t="str">
        <f>IFERROR(__xludf.DUMMYFUNCTION("""COMPUTED_VALUE"""),"2023/2024")</f>
        <v>2023/2024</v>
      </c>
      <c r="E718" s="9">
        <f>IFERROR(__xludf.DUMMYFUNCTION("""COMPUTED_VALUE"""),45287.0)</f>
        <v>45287</v>
      </c>
      <c r="F718" s="5" t="str">
        <f>IFERROR(__xludf.DUMMYFUNCTION("""COMPUTED_VALUE"""),"Ganjil")</f>
        <v>Ganjil</v>
      </c>
      <c r="G718" s="5" t="str">
        <f>IFERROR(__xludf.DUMMYFUNCTION("""COMPUTED_VALUE"""),"Manajemen")</f>
        <v>Manajemen</v>
      </c>
      <c r="H718" s="10" t="str">
        <f>IFERROR(__xludf.DUMMYFUNCTION("""COMPUTED_VALUE"""),"Mahasiswa")</f>
        <v>Mahasiswa</v>
      </c>
      <c r="I718" s="6" t="str">
        <f>IFERROR(__xludf.DUMMYFUNCTION("""COMPUTED_VALUE"""),"Onix Saputra Nur Rohmat")</f>
        <v>Onix Saputra Nur Rohmat</v>
      </c>
      <c r="J718" s="6" t="str">
        <f>IFERROR(__xludf.DUMMYFUNCTION("""COMPUTED_VALUE"""),"Ginanjar Rahmawan")</f>
        <v>Ginanjar Rahmawan</v>
      </c>
      <c r="K718" s="6"/>
      <c r="L718" s="6"/>
      <c r="M718" s="6"/>
      <c r="N718" s="6"/>
      <c r="O718" s="6"/>
      <c r="P718" s="10" t="str">
        <f>IFERROR(__xludf.DUMMYFUNCTION("""COMPUTED_VALUE"""),"Onix Saputra Nur Rohmat, Ginanjar Rahmawan")</f>
        <v>Onix Saputra Nur Rohmat, Ginanjar Rahmawan</v>
      </c>
      <c r="Q718" s="11" t="str">
        <f>IFERROR(__xludf.DUMMYFUNCTION("""COMPUTED_VALUE"""),"https://repository.stiesurakarta.ac.id/submission/748ff9d8-7a50-4a4b-9111-c074d97dc092")</f>
        <v>https://repository.stiesurakarta.ac.id/submission/748ff9d8-7a50-4a4b-9111-c074d97dc092</v>
      </c>
      <c r="R718" s="6"/>
    </row>
    <row r="719">
      <c r="A719" s="5">
        <f>IFERROR(__xludf.DUMMYFUNCTION("""COMPUTED_VALUE"""),718.0)</f>
        <v>718</v>
      </c>
      <c r="B719" s="6" t="str">
        <f>IFERROR(__xludf.DUMMYFUNCTION("""COMPUTED_VALUE"""),"Analisis Pengaruh Rasio Leverage, Rasio Profitabilitas, dan Ukuran Perusahaan Pada Pertumbuhan Laba")</f>
        <v>Analisis Pengaruh Rasio Leverage, Rasio Profitabilitas, dan Ukuran Perusahaan Pada Pertumbuhan Laba</v>
      </c>
      <c r="C719" s="7">
        <f>IFERROR(__xludf.DUMMYFUNCTION("""COMPUTED_VALUE"""),2023.0)</f>
        <v>2023</v>
      </c>
      <c r="D719" s="8" t="str">
        <f>IFERROR(__xludf.DUMMYFUNCTION("""COMPUTED_VALUE"""),"2023/2024")</f>
        <v>2023/2024</v>
      </c>
      <c r="E719" s="9">
        <f>IFERROR(__xludf.DUMMYFUNCTION("""COMPUTED_VALUE"""),45287.0)</f>
        <v>45287</v>
      </c>
      <c r="F719" s="5" t="str">
        <f>IFERROR(__xludf.DUMMYFUNCTION("""COMPUTED_VALUE"""),"Ganjil")</f>
        <v>Ganjil</v>
      </c>
      <c r="G719" s="5" t="str">
        <f>IFERROR(__xludf.DUMMYFUNCTION("""COMPUTED_VALUE"""),"Akuntansi")</f>
        <v>Akuntansi</v>
      </c>
      <c r="H719" s="10" t="str">
        <f>IFERROR(__xludf.DUMMYFUNCTION("""COMPUTED_VALUE"""),"Mahasiswa")</f>
        <v>Mahasiswa</v>
      </c>
      <c r="I719" s="6" t="str">
        <f>IFERROR(__xludf.DUMMYFUNCTION("""COMPUTED_VALUE"""),"Nika Purniawati")</f>
        <v>Nika Purniawati</v>
      </c>
      <c r="J719" s="6" t="str">
        <f>IFERROR(__xludf.DUMMYFUNCTION("""COMPUTED_VALUE"""),"Ismunawan")</f>
        <v>Ismunawan</v>
      </c>
      <c r="K719" s="6"/>
      <c r="L719" s="6"/>
      <c r="M719" s="6"/>
      <c r="N719" s="6"/>
      <c r="O719" s="6"/>
      <c r="P719" s="10" t="str">
        <f>IFERROR(__xludf.DUMMYFUNCTION("""COMPUTED_VALUE"""),"Nika Purniawati, Ismunawan")</f>
        <v>Nika Purniawati, Ismunawan</v>
      </c>
      <c r="Q719" s="11" t="str">
        <f>IFERROR(__xludf.DUMMYFUNCTION("""COMPUTED_VALUE"""),"https://organize.pdfaii.org/index.php/i/article/view/58/23")</f>
        <v>https://organize.pdfaii.org/index.php/i/article/view/58/23</v>
      </c>
      <c r="R719" s="6"/>
    </row>
    <row r="720">
      <c r="A720" s="5">
        <f>IFERROR(__xludf.DUMMYFUNCTION("""COMPUTED_VALUE"""),719.0)</f>
        <v>719</v>
      </c>
      <c r="B720" s="6" t="str">
        <f>IFERROR(__xludf.DUMMYFUNCTION("""COMPUTED_VALUE"""),"Peran Intellectual Capital Pada Keunggulan Kompetitif Umkm Melalui Perolehan Sumber Daya (Studi Pada Umkm Souvenir Di Solo Raya)")</f>
        <v>Peran Intellectual Capital Pada Keunggulan Kompetitif Umkm Melalui Perolehan Sumber Daya (Studi Pada Umkm Souvenir Di Solo Raya)</v>
      </c>
      <c r="C720" s="7">
        <f>IFERROR(__xludf.DUMMYFUNCTION("""COMPUTED_VALUE"""),2023.0)</f>
        <v>2023</v>
      </c>
      <c r="D720" s="8" t="str">
        <f>IFERROR(__xludf.DUMMYFUNCTION("""COMPUTED_VALUE"""),"2023/2024")</f>
        <v>2023/2024</v>
      </c>
      <c r="E720" s="9">
        <f>IFERROR(__xludf.DUMMYFUNCTION("""COMPUTED_VALUE"""),45288.0)</f>
        <v>45288</v>
      </c>
      <c r="F720" s="5" t="str">
        <f>IFERROR(__xludf.DUMMYFUNCTION("""COMPUTED_VALUE"""),"Ganjil")</f>
        <v>Ganjil</v>
      </c>
      <c r="G720" s="5" t="str">
        <f>IFERROR(__xludf.DUMMYFUNCTION("""COMPUTED_VALUE"""),"Akuntansi")</f>
        <v>Akuntansi</v>
      </c>
      <c r="H720" s="10" t="str">
        <f>IFERROR(__xludf.DUMMYFUNCTION("""COMPUTED_VALUE"""),"Dosen")</f>
        <v>Dosen</v>
      </c>
      <c r="I720" s="6" t="str">
        <f>IFERROR(__xludf.DUMMYFUNCTION("""COMPUTED_VALUE"""),"Rosita")</f>
        <v>Rosita</v>
      </c>
      <c r="J720" s="6" t="str">
        <f>IFERROR(__xludf.DUMMYFUNCTION("""COMPUTED_VALUE"""),"Heri Susanto")</f>
        <v>Heri Susanto</v>
      </c>
      <c r="K720" s="6" t="str">
        <f>IFERROR(__xludf.DUMMYFUNCTION("""COMPUTED_VALUE"""),"Ida Ayu Kade")</f>
        <v>Ida Ayu Kade</v>
      </c>
      <c r="L720" s="6" t="str">
        <f>IFERROR(__xludf.DUMMYFUNCTION("""COMPUTED_VALUE"""),"Amy Wulandari")</f>
        <v>Amy Wulandari</v>
      </c>
      <c r="M720" s="6" t="str">
        <f>IFERROR(__xludf.DUMMYFUNCTION("""COMPUTED_VALUE"""),"Rudi Prasetyo Ardi")</f>
        <v>Rudi Prasetyo Ardi</v>
      </c>
      <c r="N720" s="6"/>
      <c r="O720" s="6"/>
      <c r="P720" s="10"/>
      <c r="Q720" s="11" t="str">
        <f>IFERROR(__xludf.DUMMYFUNCTION("""COMPUTED_VALUE"""),"https://ejournal.uby.ac.id/index.php/ekobis/article/view/1266")</f>
        <v>https://ejournal.uby.ac.id/index.php/ekobis/article/view/1266</v>
      </c>
      <c r="R720" s="6"/>
    </row>
    <row r="721">
      <c r="A721" s="5">
        <f>IFERROR(__xludf.DUMMYFUNCTION("""COMPUTED_VALUE"""),720.0)</f>
        <v>720</v>
      </c>
      <c r="B721" s="6" t="str">
        <f>IFERROR(__xludf.DUMMYFUNCTION("""COMPUTED_VALUE"""),"The Influence of Product Design, Features, and Quality Specifications on Interest in Buying an iPhone Mini")</f>
        <v>The Influence of Product Design, Features, and Quality Specifications on Interest in Buying an iPhone Mini</v>
      </c>
      <c r="C721" s="7">
        <f>IFERROR(__xludf.DUMMYFUNCTION("""COMPUTED_VALUE"""),2023.0)</f>
        <v>2023</v>
      </c>
      <c r="D721" s="8" t="str">
        <f>IFERROR(__xludf.DUMMYFUNCTION("""COMPUTED_VALUE"""),"2023/2024")</f>
        <v>2023/2024</v>
      </c>
      <c r="E721" s="9">
        <f>IFERROR(__xludf.DUMMYFUNCTION("""COMPUTED_VALUE"""),45288.0)</f>
        <v>45288</v>
      </c>
      <c r="F721" s="5" t="str">
        <f>IFERROR(__xludf.DUMMYFUNCTION("""COMPUTED_VALUE"""),"Ganjil")</f>
        <v>Ganjil</v>
      </c>
      <c r="G721" s="5" t="str">
        <f>IFERROR(__xludf.DUMMYFUNCTION("""COMPUTED_VALUE"""),"Manajemen")</f>
        <v>Manajemen</v>
      </c>
      <c r="H721" s="10" t="str">
        <f>IFERROR(__xludf.DUMMYFUNCTION("""COMPUTED_VALUE"""),"Mahasiswa")</f>
        <v>Mahasiswa</v>
      </c>
      <c r="I721" s="6" t="str">
        <f>IFERROR(__xludf.DUMMYFUNCTION("""COMPUTED_VALUE"""),"Anandayu Octaviani")</f>
        <v>Anandayu Octaviani</v>
      </c>
      <c r="J721" s="6" t="str">
        <f>IFERROR(__xludf.DUMMYFUNCTION("""COMPUTED_VALUE"""),"Ginanjar Rahmawan")</f>
        <v>Ginanjar Rahmawan</v>
      </c>
      <c r="K721" s="6"/>
      <c r="L721" s="6"/>
      <c r="M721" s="6"/>
      <c r="N721" s="6"/>
      <c r="O721" s="6"/>
      <c r="P721" s="10" t="str">
        <f>IFERROR(__xludf.DUMMYFUNCTION("""COMPUTED_VALUE"""),"Anandayu Octaviani, Ginanjar Rahmawan")</f>
        <v>Anandayu Octaviani, Ginanjar Rahmawan</v>
      </c>
      <c r="Q721" s="11" t="str">
        <f>IFERROR(__xludf.DUMMYFUNCTION("""COMPUTED_VALUE"""),"https://ejournal.uika-bogor.ac.id/index.php/INOVATOR/article/view/17627")</f>
        <v>https://ejournal.uika-bogor.ac.id/index.php/INOVATOR/article/view/17627</v>
      </c>
      <c r="R721" s="6"/>
    </row>
    <row r="722">
      <c r="A722" s="5">
        <f>IFERROR(__xludf.DUMMYFUNCTION("""COMPUTED_VALUE"""),721.0)</f>
        <v>721</v>
      </c>
      <c r="B722" s="6" t="str">
        <f>IFERROR(__xludf.DUMMYFUNCTION("""COMPUTED_VALUE"""),"Determinan Kepatuhan Wajib Pajak di KPP Pratama Sukoharjo")</f>
        <v>Determinan Kepatuhan Wajib Pajak di KPP Pratama Sukoharjo</v>
      </c>
      <c r="C722" s="7">
        <f>IFERROR(__xludf.DUMMYFUNCTION("""COMPUTED_VALUE"""),2023.0)</f>
        <v>2023</v>
      </c>
      <c r="D722" s="8" t="str">
        <f>IFERROR(__xludf.DUMMYFUNCTION("""COMPUTED_VALUE"""),"2023/2024")</f>
        <v>2023/2024</v>
      </c>
      <c r="E722" s="9">
        <f>IFERROR(__xludf.DUMMYFUNCTION("""COMPUTED_VALUE"""),45290.0)</f>
        <v>45290</v>
      </c>
      <c r="F722" s="5" t="str">
        <f>IFERROR(__xludf.DUMMYFUNCTION("""COMPUTED_VALUE"""),"Ganjil")</f>
        <v>Ganjil</v>
      </c>
      <c r="G722" s="5" t="str">
        <f>IFERROR(__xludf.DUMMYFUNCTION("""COMPUTED_VALUE"""),"Akuntansi")</f>
        <v>Akuntansi</v>
      </c>
      <c r="H722" s="10" t="str">
        <f>IFERROR(__xludf.DUMMYFUNCTION("""COMPUTED_VALUE"""),"Dosen")</f>
        <v>Dosen</v>
      </c>
      <c r="I722" s="6" t="str">
        <f>IFERROR(__xludf.DUMMYFUNCTION("""COMPUTED_VALUE"""),"Astuning Saharsini")</f>
        <v>Astuning Saharsini</v>
      </c>
      <c r="J722" s="6" t="str">
        <f>IFERROR(__xludf.DUMMYFUNCTION("""COMPUTED_VALUE"""),"Era Trianita")</f>
        <v>Era Trianita</v>
      </c>
      <c r="K722" s="6" t="str">
        <f>IFERROR(__xludf.DUMMYFUNCTION("""COMPUTED_VALUE"""),"Bayu Seto")</f>
        <v>Bayu Seto</v>
      </c>
      <c r="L722" s="6"/>
      <c r="M722" s="6"/>
      <c r="N722" s="6"/>
      <c r="O722" s="6"/>
      <c r="P722" s="10"/>
      <c r="Q722" s="11" t="str">
        <f>IFERROR(__xludf.DUMMYFUNCTION("""COMPUTED_VALUE"""),"https://jurnal.stiesurakarta.ac.id/index.php/jebdeker/article/view/226")</f>
        <v>https://jurnal.stiesurakarta.ac.id/index.php/jebdeker/article/view/226</v>
      </c>
      <c r="R722" s="6"/>
    </row>
    <row r="723">
      <c r="A723" s="5">
        <f>IFERROR(__xludf.DUMMYFUNCTION("""COMPUTED_VALUE"""),722.0)</f>
        <v>722</v>
      </c>
      <c r="B723" s="6" t="str">
        <f>IFERROR(__xludf.DUMMYFUNCTION("""COMPUTED_VALUE"""),"Makna Fraud Bagi Pengelola Badan Keswadayaan Masyarakat di Kabupaten Sukoharjo (Sebuah Studi Fenomenologi)")</f>
        <v>Makna Fraud Bagi Pengelola Badan Keswadayaan Masyarakat di Kabupaten Sukoharjo (Sebuah Studi Fenomenologi)</v>
      </c>
      <c r="C723" s="7">
        <f>IFERROR(__xludf.DUMMYFUNCTION("""COMPUTED_VALUE"""),2023.0)</f>
        <v>2023</v>
      </c>
      <c r="D723" s="8" t="str">
        <f>IFERROR(__xludf.DUMMYFUNCTION("""COMPUTED_VALUE"""),"2023/2024")</f>
        <v>2023/2024</v>
      </c>
      <c r="E723" s="9">
        <f>IFERROR(__xludf.DUMMYFUNCTION("""COMPUTED_VALUE"""),45291.0)</f>
        <v>45291</v>
      </c>
      <c r="F723" s="5" t="str">
        <f>IFERROR(__xludf.DUMMYFUNCTION("""COMPUTED_VALUE"""),"Ganjil")</f>
        <v>Ganjil</v>
      </c>
      <c r="G723" s="5" t="str">
        <f>IFERROR(__xludf.DUMMYFUNCTION("""COMPUTED_VALUE"""),"Akuntansi")</f>
        <v>Akuntansi</v>
      </c>
      <c r="H723" s="10" t="str">
        <f>IFERROR(__xludf.DUMMYFUNCTION("""COMPUTED_VALUE"""),"Dosen")</f>
        <v>Dosen</v>
      </c>
      <c r="I723" s="6" t="str">
        <f>IFERROR(__xludf.DUMMYFUNCTION("""COMPUTED_VALUE"""),"Eko Triyanto")</f>
        <v>Eko Triyanto</v>
      </c>
      <c r="J723" s="6" t="str">
        <f>IFERROR(__xludf.DUMMYFUNCTION("""COMPUTED_VALUE"""),"Zulfikar")</f>
        <v>Zulfikar</v>
      </c>
      <c r="K723" s="6" t="str">
        <f>IFERROR(__xludf.DUMMYFUNCTION("""COMPUTED_VALUE"""),"Triyono")</f>
        <v>Triyono</v>
      </c>
      <c r="L723" s="6"/>
      <c r="M723" s="6"/>
      <c r="N723" s="6"/>
      <c r="O723" s="6"/>
      <c r="P723" s="10"/>
      <c r="Q723" s="11" t="str">
        <f>IFERROR(__xludf.DUMMYFUNCTION("""COMPUTED_VALUE"""),"https://jurnal.stiesurakarta.ac.id/index.php/jebdeker/article/view/248")</f>
        <v>https://jurnal.stiesurakarta.ac.id/index.php/jebdeker/article/view/248</v>
      </c>
      <c r="R723" s="6"/>
    </row>
    <row r="724">
      <c r="A724" s="5">
        <f>IFERROR(__xludf.DUMMYFUNCTION("""COMPUTED_VALUE"""),723.0)</f>
        <v>723</v>
      </c>
      <c r="B724" s="6" t="str">
        <f>IFERROR(__xludf.DUMMYFUNCTION("""COMPUTED_VALUE"""),"PENGARUH RELOKASI, LAMA USAHA DAN MODAL USAHA TERHADAP PENDAPATAN UMKM (STUDI KASUS PEDAGANG SHELTER MANAHAN SOLO)")</f>
        <v>PENGARUH RELOKASI, LAMA USAHA DAN MODAL USAHA TERHADAP PENDAPATAN UMKM (STUDI KASUS PEDAGANG SHELTER MANAHAN SOLO)</v>
      </c>
      <c r="C724" s="7">
        <f>IFERROR(__xludf.DUMMYFUNCTION("""COMPUTED_VALUE"""),2024.0)</f>
        <v>2024</v>
      </c>
      <c r="D724" s="8" t="str">
        <f>IFERROR(__xludf.DUMMYFUNCTION("""COMPUTED_VALUE"""),"2023/2024")</f>
        <v>2023/2024</v>
      </c>
      <c r="E724" s="9">
        <f>IFERROR(__xludf.DUMMYFUNCTION("""COMPUTED_VALUE"""),45293.0)</f>
        <v>45293</v>
      </c>
      <c r="F724" s="5" t="str">
        <f>IFERROR(__xludf.DUMMYFUNCTION("""COMPUTED_VALUE"""),"Ganjil")</f>
        <v>Ganjil</v>
      </c>
      <c r="G724" s="5" t="str">
        <f>IFERROR(__xludf.DUMMYFUNCTION("""COMPUTED_VALUE"""),"Akuntansi")</f>
        <v>Akuntansi</v>
      </c>
      <c r="H724" s="10" t="str">
        <f>IFERROR(__xludf.DUMMYFUNCTION("""COMPUTED_VALUE"""),"Mahasiswa")</f>
        <v>Mahasiswa</v>
      </c>
      <c r="I724" s="6" t="str">
        <f>IFERROR(__xludf.DUMMYFUNCTION("""COMPUTED_VALUE"""),"Nabilah Lufhi Widiyanti")</f>
        <v>Nabilah Lufhi Widiyanti</v>
      </c>
      <c r="J724" s="6" t="str">
        <f>IFERROR(__xludf.DUMMYFUNCTION("""COMPUTED_VALUE"""),"Dewi Ika Octavia")</f>
        <v>Dewi Ika Octavia</v>
      </c>
      <c r="K724" s="6"/>
      <c r="L724" s="6"/>
      <c r="M724" s="6"/>
      <c r="N724" s="6"/>
      <c r="O724" s="6"/>
      <c r="P724" s="10" t="str">
        <f>IFERROR(__xludf.DUMMYFUNCTION("""COMPUTED_VALUE"""),"Nabilah Lufhi Widiyanti, Dewi Ika Octavia")</f>
        <v>Nabilah Lufhi Widiyanti, Dewi Ika Octavia</v>
      </c>
      <c r="Q724" s="11" t="str">
        <f>IFERROR(__xludf.DUMMYFUNCTION("""COMPUTED_VALUE"""),"https://ejurnal.kampusakademik.co.id/index.php/jiem/article/view/1032")</f>
        <v>https://ejurnal.kampusakademik.co.id/index.php/jiem/article/view/1032</v>
      </c>
      <c r="R724" s="6"/>
    </row>
    <row r="725">
      <c r="A725" s="5">
        <f>IFERROR(__xludf.DUMMYFUNCTION("""COMPUTED_VALUE"""),724.0)</f>
        <v>724</v>
      </c>
      <c r="B725" s="6" t="str">
        <f>IFERROR(__xludf.DUMMYFUNCTION("""COMPUTED_VALUE"""),"PENGARUH ONLINE CUSTOMER REVIEW, HARGA, DAN CITRA MEREK TERHADAP KEPUTUSAN PEMBELIAN PRODUK HAND AND BODY LOTION VASELINE (Studi Kasus Pada Konsumen Hand and Body Lotion Vaseline Di Solo Raya)")</f>
        <v>PENGARUH ONLINE CUSTOMER REVIEW, HARGA, DAN CITRA MEREK TERHADAP KEPUTUSAN PEMBELIAN PRODUK HAND AND BODY LOTION VASELINE (Studi Kasus Pada Konsumen Hand and Body Lotion Vaseline Di Solo Raya)</v>
      </c>
      <c r="C725" s="7">
        <f>IFERROR(__xludf.DUMMYFUNCTION("""COMPUTED_VALUE"""),2024.0)</f>
        <v>2024</v>
      </c>
      <c r="D725" s="8" t="str">
        <f>IFERROR(__xludf.DUMMYFUNCTION("""COMPUTED_VALUE"""),"2023/2024")</f>
        <v>2023/2024</v>
      </c>
      <c r="E725" s="9">
        <f>IFERROR(__xludf.DUMMYFUNCTION("""COMPUTED_VALUE"""),45293.0)</f>
        <v>45293</v>
      </c>
      <c r="F725" s="5" t="str">
        <f>IFERROR(__xludf.DUMMYFUNCTION("""COMPUTED_VALUE"""),"Ganjil")</f>
        <v>Ganjil</v>
      </c>
      <c r="G725" s="5" t="str">
        <f>IFERROR(__xludf.DUMMYFUNCTION("""COMPUTED_VALUE"""),"Manajemen")</f>
        <v>Manajemen</v>
      </c>
      <c r="H725" s="10" t="str">
        <f>IFERROR(__xludf.DUMMYFUNCTION("""COMPUTED_VALUE"""),"Mahasiswa")</f>
        <v>Mahasiswa</v>
      </c>
      <c r="I725" s="6" t="str">
        <f>IFERROR(__xludf.DUMMYFUNCTION("""COMPUTED_VALUE"""),"Findi Wahyu Utami")</f>
        <v>Findi Wahyu Utami</v>
      </c>
      <c r="J725" s="6" t="str">
        <f>IFERROR(__xludf.DUMMYFUNCTION("""COMPUTED_VALUE"""),"Budi Istiyanto")</f>
        <v>Budi Istiyanto</v>
      </c>
      <c r="K725" s="6"/>
      <c r="L725" s="6"/>
      <c r="M725" s="6"/>
      <c r="N725" s="6"/>
      <c r="O725" s="6"/>
      <c r="P725" s="10" t="str">
        <f>IFERROR(__xludf.DUMMYFUNCTION("""COMPUTED_VALUE"""),"Findi Wahyu Utami, Budi Istiyanto")</f>
        <v>Findi Wahyu Utami, Budi Istiyanto</v>
      </c>
      <c r="Q725" s="11" t="str">
        <f>IFERROR(__xludf.DUMMYFUNCTION("""COMPUTED_VALUE"""),"https://ejurnal.kampusakademik.co.id/index.php/jiem/article/view/879/version/879")</f>
        <v>https://ejurnal.kampusakademik.co.id/index.php/jiem/article/view/879/version/879</v>
      </c>
      <c r="R725" s="6"/>
    </row>
    <row r="726">
      <c r="A726" s="5">
        <f>IFERROR(__xludf.DUMMYFUNCTION("""COMPUTED_VALUE"""),725.0)</f>
        <v>725</v>
      </c>
      <c r="B726" s="6" t="str">
        <f>IFERROR(__xludf.DUMMYFUNCTION("""COMPUTED_VALUE"""),"PENGARUH KEPERCAYAAN MEREK, DESAIN PRODUK DAN FANATISME TERHADAP LOYALITAS PELANGGAN SEPATU CASUAL ADIDAS PADA GEN-Z DI SOLO RAYA")</f>
        <v>PENGARUH KEPERCAYAAN MEREK, DESAIN PRODUK DAN FANATISME TERHADAP LOYALITAS PELANGGAN SEPATU CASUAL ADIDAS PADA GEN-Z DI SOLO RAYA</v>
      </c>
      <c r="C726" s="7">
        <f>IFERROR(__xludf.DUMMYFUNCTION("""COMPUTED_VALUE"""),2024.0)</f>
        <v>2024</v>
      </c>
      <c r="D726" s="8" t="str">
        <f>IFERROR(__xludf.DUMMYFUNCTION("""COMPUTED_VALUE"""),"2023/2024")</f>
        <v>2023/2024</v>
      </c>
      <c r="E726" s="9">
        <f>IFERROR(__xludf.DUMMYFUNCTION("""COMPUTED_VALUE"""),45293.0)</f>
        <v>45293</v>
      </c>
      <c r="F726" s="5" t="str">
        <f>IFERROR(__xludf.DUMMYFUNCTION("""COMPUTED_VALUE"""),"Ganjil")</f>
        <v>Ganjil</v>
      </c>
      <c r="G726" s="5" t="str">
        <f>IFERROR(__xludf.DUMMYFUNCTION("""COMPUTED_VALUE"""),"Manajemen")</f>
        <v>Manajemen</v>
      </c>
      <c r="H726" s="10" t="str">
        <f>IFERROR(__xludf.DUMMYFUNCTION("""COMPUTED_VALUE"""),"Mahasiswa")</f>
        <v>Mahasiswa</v>
      </c>
      <c r="I726" s="6" t="str">
        <f>IFERROR(__xludf.DUMMYFUNCTION("""COMPUTED_VALUE"""),"Dila Tri Yuliana")</f>
        <v>Dila Tri Yuliana</v>
      </c>
      <c r="J726" s="6" t="str">
        <f>IFERROR(__xludf.DUMMYFUNCTION("""COMPUTED_VALUE"""),"Budi Istiyanto")</f>
        <v>Budi Istiyanto</v>
      </c>
      <c r="K726" s="6"/>
      <c r="L726" s="6"/>
      <c r="M726" s="6"/>
      <c r="N726" s="6"/>
      <c r="O726" s="6"/>
      <c r="P726" s="10" t="str">
        <f>IFERROR(__xludf.DUMMYFUNCTION("""COMPUTED_VALUE"""),"Dila Tri Yuliana, Budi Istiyanto")</f>
        <v>Dila Tri Yuliana, Budi Istiyanto</v>
      </c>
      <c r="Q726" s="11" t="str">
        <f>IFERROR(__xludf.DUMMYFUNCTION("""COMPUTED_VALUE"""),"https://ejurnal.kampusakademik.co.id/index.php/jiem/article/view/884/version/884")</f>
        <v>https://ejurnal.kampusakademik.co.id/index.php/jiem/article/view/884/version/884</v>
      </c>
      <c r="R726" s="6"/>
    </row>
    <row r="727">
      <c r="A727" s="5">
        <f>IFERROR(__xludf.DUMMYFUNCTION("""COMPUTED_VALUE"""),726.0)</f>
        <v>726</v>
      </c>
      <c r="B727" s="6" t="str">
        <f>IFERROR(__xludf.DUMMYFUNCTION("""COMPUTED_VALUE"""),"PENGARUH KUALITAS PRODUK,CITRA MEREK,DAN E-WOM TERHADAP MINAT BELI ULANG LIPCREAM HANASUI (STUDI KASUS PADA KONSUMEN DI SOLO RAYA)")</f>
        <v>PENGARUH KUALITAS PRODUK,CITRA MEREK,DAN E-WOM TERHADAP MINAT BELI ULANG LIPCREAM HANASUI (STUDI KASUS PADA KONSUMEN DI SOLO RAYA)</v>
      </c>
      <c r="C727" s="7">
        <f>IFERROR(__xludf.DUMMYFUNCTION("""COMPUTED_VALUE"""),2024.0)</f>
        <v>2024</v>
      </c>
      <c r="D727" s="8" t="str">
        <f>IFERROR(__xludf.DUMMYFUNCTION("""COMPUTED_VALUE"""),"2023/2024")</f>
        <v>2023/2024</v>
      </c>
      <c r="E727" s="9">
        <f>IFERROR(__xludf.DUMMYFUNCTION("""COMPUTED_VALUE"""),45293.0)</f>
        <v>45293</v>
      </c>
      <c r="F727" s="5" t="str">
        <f>IFERROR(__xludf.DUMMYFUNCTION("""COMPUTED_VALUE"""),"Ganjil")</f>
        <v>Ganjil</v>
      </c>
      <c r="G727" s="5" t="str">
        <f>IFERROR(__xludf.DUMMYFUNCTION("""COMPUTED_VALUE"""),"Manajemen")</f>
        <v>Manajemen</v>
      </c>
      <c r="H727" s="10" t="str">
        <f>IFERROR(__xludf.DUMMYFUNCTION("""COMPUTED_VALUE"""),"Mahasiswa")</f>
        <v>Mahasiswa</v>
      </c>
      <c r="I727" s="6" t="str">
        <f>IFERROR(__xludf.DUMMYFUNCTION("""COMPUTED_VALUE"""),"Dea Ayu Pramesti")</f>
        <v>Dea Ayu Pramesti</v>
      </c>
      <c r="J727" s="6" t="str">
        <f>IFERROR(__xludf.DUMMYFUNCTION("""COMPUTED_VALUE"""),"Budi Istiyanto")</f>
        <v>Budi Istiyanto</v>
      </c>
      <c r="K727" s="6"/>
      <c r="L727" s="6"/>
      <c r="M727" s="6"/>
      <c r="N727" s="6"/>
      <c r="O727" s="6"/>
      <c r="P727" s="10" t="str">
        <f>IFERROR(__xludf.DUMMYFUNCTION("""COMPUTED_VALUE"""),"Dea Ayu Pramesti, Budi Istiyanto")</f>
        <v>Dea Ayu Pramesti, Budi Istiyanto</v>
      </c>
      <c r="Q727" s="11" t="str">
        <f>IFERROR(__xludf.DUMMYFUNCTION("""COMPUTED_VALUE"""),"https://ejurnal.kampusakademik.co.id/index.php/jiem/article/view/885/version/885")</f>
        <v>https://ejurnal.kampusakademik.co.id/index.php/jiem/article/view/885/version/885</v>
      </c>
      <c r="R727" s="6"/>
    </row>
    <row r="728">
      <c r="A728" s="5">
        <f>IFERROR(__xludf.DUMMYFUNCTION("""COMPUTED_VALUE"""),727.0)</f>
        <v>727</v>
      </c>
      <c r="B728" s="6" t="str">
        <f>IFERROR(__xludf.DUMMYFUNCTION("""COMPUTED_VALUE"""),"PENGARUH IKLAN MEDIA SOSIAL, DESAIN PRODUK, DAN ONLINE CUSTOMER REVIEW SHOPEE TERHADAP MINAT BELI ULANG MASCARA MAYBELLINE DI SOLO RAYA")</f>
        <v>PENGARUH IKLAN MEDIA SOSIAL, DESAIN PRODUK, DAN ONLINE CUSTOMER REVIEW SHOPEE TERHADAP MINAT BELI ULANG MASCARA MAYBELLINE DI SOLO RAYA</v>
      </c>
      <c r="C728" s="7">
        <f>IFERROR(__xludf.DUMMYFUNCTION("""COMPUTED_VALUE"""),2024.0)</f>
        <v>2024</v>
      </c>
      <c r="D728" s="8" t="str">
        <f>IFERROR(__xludf.DUMMYFUNCTION("""COMPUTED_VALUE"""),"2023/2024")</f>
        <v>2023/2024</v>
      </c>
      <c r="E728" s="9">
        <f>IFERROR(__xludf.DUMMYFUNCTION("""COMPUTED_VALUE"""),45293.0)</f>
        <v>45293</v>
      </c>
      <c r="F728" s="5" t="str">
        <f>IFERROR(__xludf.DUMMYFUNCTION("""COMPUTED_VALUE"""),"Ganjil")</f>
        <v>Ganjil</v>
      </c>
      <c r="G728" s="5" t="str">
        <f>IFERROR(__xludf.DUMMYFUNCTION("""COMPUTED_VALUE"""),"Manajemen")</f>
        <v>Manajemen</v>
      </c>
      <c r="H728" s="10" t="str">
        <f>IFERROR(__xludf.DUMMYFUNCTION("""COMPUTED_VALUE"""),"Mahasiswa")</f>
        <v>Mahasiswa</v>
      </c>
      <c r="I728" s="6" t="str">
        <f>IFERROR(__xludf.DUMMYFUNCTION("""COMPUTED_VALUE"""),"Alyndria Putri Carrensia")</f>
        <v>Alyndria Putri Carrensia</v>
      </c>
      <c r="J728" s="6" t="str">
        <f>IFERROR(__xludf.DUMMYFUNCTION("""COMPUTED_VALUE"""),"Budi Istiyanto")</f>
        <v>Budi Istiyanto</v>
      </c>
      <c r="K728" s="6"/>
      <c r="L728" s="6"/>
      <c r="M728" s="6"/>
      <c r="N728" s="6"/>
      <c r="O728" s="6"/>
      <c r="P728" s="10" t="str">
        <f>IFERROR(__xludf.DUMMYFUNCTION("""COMPUTED_VALUE"""),"Alyndria Putri Carrensia, Budi Istiyanto")</f>
        <v>Alyndria Putri Carrensia, Budi Istiyanto</v>
      </c>
      <c r="Q728" s="11" t="str">
        <f>IFERROR(__xludf.DUMMYFUNCTION("""COMPUTED_VALUE"""),"https://ejurnal.kampusakademik.co.id/index.php/jiem/article/view/882/version/882")</f>
        <v>https://ejurnal.kampusakademik.co.id/index.php/jiem/article/view/882/version/882</v>
      </c>
      <c r="R728" s="6"/>
    </row>
    <row r="729">
      <c r="A729" s="5">
        <f>IFERROR(__xludf.DUMMYFUNCTION("""COMPUTED_VALUE"""),728.0)</f>
        <v>728</v>
      </c>
      <c r="B729" s="6" t="str">
        <f>IFERROR(__xludf.DUMMYFUNCTION("""COMPUTED_VALUE"""),"PENGARUH INFLUENCER MARKETING, LIFESTYLE, E WOM TERHADAP MINAT BELI PRODUK FASHION MUSLIMAH (STUDI KASUS PADA MAHASISWI DI SURAKARTA)")</f>
        <v>PENGARUH INFLUENCER MARKETING, LIFESTYLE, E WOM TERHADAP MINAT BELI PRODUK FASHION MUSLIMAH (STUDI KASUS PADA MAHASISWI DI SURAKARTA)</v>
      </c>
      <c r="C729" s="7">
        <f>IFERROR(__xludf.DUMMYFUNCTION("""COMPUTED_VALUE"""),2024.0)</f>
        <v>2024</v>
      </c>
      <c r="D729" s="8" t="str">
        <f>IFERROR(__xludf.DUMMYFUNCTION("""COMPUTED_VALUE"""),"2023/2024")</f>
        <v>2023/2024</v>
      </c>
      <c r="E729" s="9">
        <f>IFERROR(__xludf.DUMMYFUNCTION("""COMPUTED_VALUE"""),45293.0)</f>
        <v>45293</v>
      </c>
      <c r="F729" s="5" t="str">
        <f>IFERROR(__xludf.DUMMYFUNCTION("""COMPUTED_VALUE"""),"Ganjil")</f>
        <v>Ganjil</v>
      </c>
      <c r="G729" s="5" t="str">
        <f>IFERROR(__xludf.DUMMYFUNCTION("""COMPUTED_VALUE"""),"Manajemen")</f>
        <v>Manajemen</v>
      </c>
      <c r="H729" s="10" t="str">
        <f>IFERROR(__xludf.DUMMYFUNCTION("""COMPUTED_VALUE"""),"Mahasiswa")</f>
        <v>Mahasiswa</v>
      </c>
      <c r="I729" s="6" t="str">
        <f>IFERROR(__xludf.DUMMYFUNCTION("""COMPUTED_VALUE"""),"Dwi Rahmawati")</f>
        <v>Dwi Rahmawati</v>
      </c>
      <c r="J729" s="6" t="str">
        <f>IFERROR(__xludf.DUMMYFUNCTION("""COMPUTED_VALUE"""),"Ari Susanti")</f>
        <v>Ari Susanti</v>
      </c>
      <c r="K729" s="6"/>
      <c r="L729" s="6"/>
      <c r="M729" s="6"/>
      <c r="N729" s="6"/>
      <c r="O729" s="6"/>
      <c r="P729" s="10" t="str">
        <f>IFERROR(__xludf.DUMMYFUNCTION("""COMPUTED_VALUE"""),"Dwi Rahmawati, Ari Susanti")</f>
        <v>Dwi Rahmawati, Ari Susanti</v>
      </c>
      <c r="Q729" s="11" t="str">
        <f>IFERROR(__xludf.DUMMYFUNCTION("""COMPUTED_VALUE"""),"https://ejurnal.kampusakademik.co.id/index.php/jiem/article/view/979")</f>
        <v>https://ejurnal.kampusakademik.co.id/index.php/jiem/article/view/979</v>
      </c>
      <c r="R729" s="6"/>
    </row>
    <row r="730">
      <c r="A730" s="5">
        <f>IFERROR(__xludf.DUMMYFUNCTION("""COMPUTED_VALUE"""),729.0)</f>
        <v>729</v>
      </c>
      <c r="B730" s="6" t="str">
        <f>IFERROR(__xludf.DUMMYFUNCTION("""COMPUTED_VALUE"""),"PENGARUH FLASH SALE, DISCOUNT DAN TAGLINE “GRATIS ONGKIR” TERHADAP PERILAKU IMPULSIVE BUYINGPENGGUNA SHOPEE DI SOLORAYA")</f>
        <v>PENGARUH FLASH SALE, DISCOUNT DAN TAGLINE “GRATIS ONGKIR” TERHADAP PERILAKU IMPULSIVE BUYINGPENGGUNA SHOPEE DI SOLORAYA</v>
      </c>
      <c r="C730" s="7">
        <f>IFERROR(__xludf.DUMMYFUNCTION("""COMPUTED_VALUE"""),2024.0)</f>
        <v>2024</v>
      </c>
      <c r="D730" s="8" t="str">
        <f>IFERROR(__xludf.DUMMYFUNCTION("""COMPUTED_VALUE"""),"2023/2024")</f>
        <v>2023/2024</v>
      </c>
      <c r="E730" s="9">
        <f>IFERROR(__xludf.DUMMYFUNCTION("""COMPUTED_VALUE"""),45293.0)</f>
        <v>45293</v>
      </c>
      <c r="F730" s="5" t="str">
        <f>IFERROR(__xludf.DUMMYFUNCTION("""COMPUTED_VALUE"""),"Ganjil")</f>
        <v>Ganjil</v>
      </c>
      <c r="G730" s="5" t="str">
        <f>IFERROR(__xludf.DUMMYFUNCTION("""COMPUTED_VALUE"""),"Manajemen")</f>
        <v>Manajemen</v>
      </c>
      <c r="H730" s="10" t="str">
        <f>IFERROR(__xludf.DUMMYFUNCTION("""COMPUTED_VALUE"""),"Mahasiswa")</f>
        <v>Mahasiswa</v>
      </c>
      <c r="I730" s="6" t="str">
        <f>IFERROR(__xludf.DUMMYFUNCTION("""COMPUTED_VALUE"""),"Feni Desy Fitriana")</f>
        <v>Feni Desy Fitriana</v>
      </c>
      <c r="J730" s="6" t="str">
        <f>IFERROR(__xludf.DUMMYFUNCTION("""COMPUTED_VALUE"""),"Budi Istiyanto")</f>
        <v>Budi Istiyanto</v>
      </c>
      <c r="K730" s="6"/>
      <c r="L730" s="6"/>
      <c r="M730" s="6"/>
      <c r="N730" s="6"/>
      <c r="O730" s="6"/>
      <c r="P730" s="10" t="str">
        <f>IFERROR(__xludf.DUMMYFUNCTION("""COMPUTED_VALUE"""),"Feni Desy Fitriana, Budi Istiyanto")</f>
        <v>Feni Desy Fitriana, Budi Istiyanto</v>
      </c>
      <c r="Q730" s="11" t="str">
        <f>IFERROR(__xludf.DUMMYFUNCTION("""COMPUTED_VALUE"""),"https://ejurnal.kampusakademik.co.id/index.php/jiem/article/view/1031/version/1031")</f>
        <v>https://ejurnal.kampusakademik.co.id/index.php/jiem/article/view/1031/version/1031</v>
      </c>
      <c r="R730" s="6"/>
    </row>
    <row r="731">
      <c r="A731" s="5">
        <f>IFERROR(__xludf.DUMMYFUNCTION("""COMPUTED_VALUE"""),730.0)</f>
        <v>730</v>
      </c>
      <c r="B731" s="6" t="str">
        <f>IFERROR(__xludf.DUMMYFUNCTION("""COMPUTED_VALUE"""),"DETERMINAN MINAT DALAM MENYUSUN LAPORAN KEUANGAN UMKM DI PASAR KLEWER SURAKARTA")</f>
        <v>DETERMINAN MINAT DALAM MENYUSUN LAPORAN KEUANGAN UMKM DI PASAR KLEWER SURAKARTA</v>
      </c>
      <c r="C731" s="7">
        <f>IFERROR(__xludf.DUMMYFUNCTION("""COMPUTED_VALUE"""),2024.0)</f>
        <v>2024</v>
      </c>
      <c r="D731" s="8" t="str">
        <f>IFERROR(__xludf.DUMMYFUNCTION("""COMPUTED_VALUE"""),"2023/2024")</f>
        <v>2023/2024</v>
      </c>
      <c r="E731" s="9">
        <f>IFERROR(__xludf.DUMMYFUNCTION("""COMPUTED_VALUE"""),45293.0)</f>
        <v>45293</v>
      </c>
      <c r="F731" s="5" t="str">
        <f>IFERROR(__xludf.DUMMYFUNCTION("""COMPUTED_VALUE"""),"Ganjil")</f>
        <v>Ganjil</v>
      </c>
      <c r="G731" s="5" t="str">
        <f>IFERROR(__xludf.DUMMYFUNCTION("""COMPUTED_VALUE"""),"Akuntansi")</f>
        <v>Akuntansi</v>
      </c>
      <c r="H731" s="10" t="str">
        <f>IFERROR(__xludf.DUMMYFUNCTION("""COMPUTED_VALUE"""),"Mahasiswa")</f>
        <v>Mahasiswa</v>
      </c>
      <c r="I731" s="6" t="str">
        <f>IFERROR(__xludf.DUMMYFUNCTION("""COMPUTED_VALUE"""),"Fransisca Sekar Ayu Putri")</f>
        <v>Fransisca Sekar Ayu Putri</v>
      </c>
      <c r="J731" s="6" t="str">
        <f>IFERROR(__xludf.DUMMYFUNCTION("""COMPUTED_VALUE"""),"Astuning Saharsini")</f>
        <v>Astuning Saharsini</v>
      </c>
      <c r="K731" s="6"/>
      <c r="L731" s="6"/>
      <c r="M731" s="6"/>
      <c r="N731" s="6"/>
      <c r="O731" s="6"/>
      <c r="P731" s="10" t="str">
        <f>IFERROR(__xludf.DUMMYFUNCTION("""COMPUTED_VALUE"""),"Fransisca Sekar Ayu Putri, Astuning Saharsini")</f>
        <v>Fransisca Sekar Ayu Putri, Astuning Saharsini</v>
      </c>
      <c r="Q731" s="11" t="str">
        <f>IFERROR(__xludf.DUMMYFUNCTION("""COMPUTED_VALUE"""),"https://ejurnal.kampusakademik.co.id/index.php/jiem/article/view/1000")</f>
        <v>https://ejurnal.kampusakademik.co.id/index.php/jiem/article/view/1000</v>
      </c>
      <c r="R731" s="6"/>
    </row>
    <row r="732">
      <c r="A732" s="5">
        <f>IFERROR(__xludf.DUMMYFUNCTION("""COMPUTED_VALUE"""),731.0)</f>
        <v>731</v>
      </c>
      <c r="B732" s="6" t="str">
        <f>IFERROR(__xludf.DUMMYFUNCTION("""COMPUTED_VALUE"""),"PENGARUH MODAL, TENAGA KERJA, DAN BAHAN BAKU TERHADAP PENDAPATAN PENGRAJIN GERABAH DESA MELIKAN, KABUPATEN KLATEN")</f>
        <v>PENGARUH MODAL, TENAGA KERJA, DAN BAHAN BAKU TERHADAP PENDAPATAN PENGRAJIN GERABAH DESA MELIKAN, KABUPATEN KLATEN</v>
      </c>
      <c r="C732" s="7">
        <f>IFERROR(__xludf.DUMMYFUNCTION("""COMPUTED_VALUE"""),2024.0)</f>
        <v>2024</v>
      </c>
      <c r="D732" s="8" t="str">
        <f>IFERROR(__xludf.DUMMYFUNCTION("""COMPUTED_VALUE"""),"2023/2024")</f>
        <v>2023/2024</v>
      </c>
      <c r="E732" s="9">
        <f>IFERROR(__xludf.DUMMYFUNCTION("""COMPUTED_VALUE"""),45293.0)</f>
        <v>45293</v>
      </c>
      <c r="F732" s="5" t="str">
        <f>IFERROR(__xludf.DUMMYFUNCTION("""COMPUTED_VALUE"""),"Ganjil")</f>
        <v>Ganjil</v>
      </c>
      <c r="G732" s="5" t="str">
        <f>IFERROR(__xludf.DUMMYFUNCTION("""COMPUTED_VALUE"""),"Akuntansi")</f>
        <v>Akuntansi</v>
      </c>
      <c r="H732" s="10" t="str">
        <f>IFERROR(__xludf.DUMMYFUNCTION("""COMPUTED_VALUE"""),"Mahasiswa")</f>
        <v>Mahasiswa</v>
      </c>
      <c r="I732" s="6" t="str">
        <f>IFERROR(__xludf.DUMMYFUNCTION("""COMPUTED_VALUE"""),"Mei Sulistyaningsih")</f>
        <v>Mei Sulistyaningsih</v>
      </c>
      <c r="J732" s="6" t="str">
        <f>IFERROR(__xludf.DUMMYFUNCTION("""COMPUTED_VALUE"""),"Eko Triyanto")</f>
        <v>Eko Triyanto</v>
      </c>
      <c r="K732" s="6"/>
      <c r="L732" s="6"/>
      <c r="M732" s="6"/>
      <c r="N732" s="6"/>
      <c r="O732" s="6"/>
      <c r="P732" s="10" t="str">
        <f>IFERROR(__xludf.DUMMYFUNCTION("""COMPUTED_VALUE"""),"Mei Sulistyaningsih, Eko Triyanto")</f>
        <v>Mei Sulistyaningsih, Eko Triyanto</v>
      </c>
      <c r="Q732" s="11" t="str">
        <f>IFERROR(__xludf.DUMMYFUNCTION("""COMPUTED_VALUE"""),"https://ejurnal.kampusakademik.co.id/index.php/jiem/article/view/1034")</f>
        <v>https://ejurnal.kampusakademik.co.id/index.php/jiem/article/view/1034</v>
      </c>
      <c r="R732" s="6"/>
    </row>
    <row r="733">
      <c r="A733" s="5">
        <f>IFERROR(__xludf.DUMMYFUNCTION("""COMPUTED_VALUE"""),732.0)</f>
        <v>732</v>
      </c>
      <c r="B733" s="6" t="str">
        <f>IFERROR(__xludf.DUMMYFUNCTION("""COMPUTED_VALUE"""),"Pengaruh Kemudahan Transaksi, Kepercayaan Pelanggan, Dan Keamanan Terhadap Loyalitas Pelanggan Pengguna E-Wallet Dana Pada Gen-Z Di Soloraya")</f>
        <v>Pengaruh Kemudahan Transaksi, Kepercayaan Pelanggan, Dan Keamanan Terhadap Loyalitas Pelanggan Pengguna E-Wallet Dana Pada Gen-Z Di Soloraya</v>
      </c>
      <c r="C733" s="7">
        <f>IFERROR(__xludf.DUMMYFUNCTION("""COMPUTED_VALUE"""),2024.0)</f>
        <v>2024</v>
      </c>
      <c r="D733" s="8" t="str">
        <f>IFERROR(__xludf.DUMMYFUNCTION("""COMPUTED_VALUE"""),"2023/2024")</f>
        <v>2023/2024</v>
      </c>
      <c r="E733" s="9">
        <f>IFERROR(__xludf.DUMMYFUNCTION("""COMPUTED_VALUE"""),45299.0)</f>
        <v>45299</v>
      </c>
      <c r="F733" s="5" t="str">
        <f>IFERROR(__xludf.DUMMYFUNCTION("""COMPUTED_VALUE"""),"Ganjil")</f>
        <v>Ganjil</v>
      </c>
      <c r="G733" s="5" t="str">
        <f>IFERROR(__xludf.DUMMYFUNCTION("""COMPUTED_VALUE"""),"Manajemen")</f>
        <v>Manajemen</v>
      </c>
      <c r="H733" s="10" t="str">
        <f>IFERROR(__xludf.DUMMYFUNCTION("""COMPUTED_VALUE"""),"Mahasiswa")</f>
        <v>Mahasiswa</v>
      </c>
      <c r="I733" s="6" t="str">
        <f>IFERROR(__xludf.DUMMYFUNCTION("""COMPUTED_VALUE"""),"Anggraini Kusuma Wardani")</f>
        <v>Anggraini Kusuma Wardani</v>
      </c>
      <c r="J733" s="6" t="str">
        <f>IFERROR(__xludf.DUMMYFUNCTION("""COMPUTED_VALUE"""),"Ari Susanti")</f>
        <v>Ari Susanti</v>
      </c>
      <c r="K733" s="6"/>
      <c r="L733" s="6"/>
      <c r="M733" s="6"/>
      <c r="N733" s="6"/>
      <c r="O733" s="6"/>
      <c r="P733" s="10" t="str">
        <f>IFERROR(__xludf.DUMMYFUNCTION("""COMPUTED_VALUE"""),"Anggraini Kusuma Wardani, Ari Susanti")</f>
        <v>Anggraini Kusuma Wardani, Ari Susanti</v>
      </c>
      <c r="Q733" s="11" t="str">
        <f>IFERROR(__xludf.DUMMYFUNCTION("""COMPUTED_VALUE"""),"http://journal.unigha.ac.id/index.php/JRR/article/view/2132")</f>
        <v>http://journal.unigha.ac.id/index.php/JRR/article/view/2132</v>
      </c>
      <c r="R733" s="6"/>
    </row>
    <row r="734">
      <c r="A734" s="5">
        <f>IFERROR(__xludf.DUMMYFUNCTION("""COMPUTED_VALUE"""),733.0)</f>
        <v>733</v>
      </c>
      <c r="B734" s="6" t="str">
        <f>IFERROR(__xludf.DUMMYFUNCTION("""COMPUTED_VALUE"""),"Determinan Harga Saham Sektor Perbankan Yang Terdaftar Di Bursa Efek Indonesia")</f>
        <v>Determinan Harga Saham Sektor Perbankan Yang Terdaftar Di Bursa Efek Indonesia</v>
      </c>
      <c r="C734" s="7">
        <f>IFERROR(__xludf.DUMMYFUNCTION("""COMPUTED_VALUE"""),2024.0)</f>
        <v>2024</v>
      </c>
      <c r="D734" s="8" t="str">
        <f>IFERROR(__xludf.DUMMYFUNCTION("""COMPUTED_VALUE"""),"2023/2024")</f>
        <v>2023/2024</v>
      </c>
      <c r="E734" s="9">
        <f>IFERROR(__xludf.DUMMYFUNCTION("""COMPUTED_VALUE"""),45300.0)</f>
        <v>45300</v>
      </c>
      <c r="F734" s="5" t="str">
        <f>IFERROR(__xludf.DUMMYFUNCTION("""COMPUTED_VALUE"""),"Ganjil")</f>
        <v>Ganjil</v>
      </c>
      <c r="G734" s="5" t="str">
        <f>IFERROR(__xludf.DUMMYFUNCTION("""COMPUTED_VALUE"""),"Akuntansi")</f>
        <v>Akuntansi</v>
      </c>
      <c r="H734" s="10" t="str">
        <f>IFERROR(__xludf.DUMMYFUNCTION("""COMPUTED_VALUE"""),"Mahasiswa")</f>
        <v>Mahasiswa</v>
      </c>
      <c r="I734" s="6" t="str">
        <f>IFERROR(__xludf.DUMMYFUNCTION("""COMPUTED_VALUE"""),"Aureal Meilani Karsono")</f>
        <v>Aureal Meilani Karsono</v>
      </c>
      <c r="J734" s="6" t="str">
        <f>IFERROR(__xludf.DUMMYFUNCTION("""COMPUTED_VALUE"""),"Astuning Saharsini")</f>
        <v>Astuning Saharsini</v>
      </c>
      <c r="K734" s="6"/>
      <c r="L734" s="6"/>
      <c r="M734" s="6"/>
      <c r="N734" s="6"/>
      <c r="O734" s="6"/>
      <c r="P734" s="10" t="str">
        <f>IFERROR(__xludf.DUMMYFUNCTION("""COMPUTED_VALUE"""),"Aureal Meilani Karsono, Astuning Saharsini")</f>
        <v>Aureal Meilani Karsono, Astuning Saharsini</v>
      </c>
      <c r="Q734" s="11" t="str">
        <f>IFERROR(__xludf.DUMMYFUNCTION("""COMPUTED_VALUE"""),"https://badanpenerbit.org/index.php/Akuntansi/article/view/1475")</f>
        <v>https://badanpenerbit.org/index.php/Akuntansi/article/view/1475</v>
      </c>
      <c r="R734" s="6"/>
    </row>
    <row r="735">
      <c r="A735" s="5">
        <f>IFERROR(__xludf.DUMMYFUNCTION("""COMPUTED_VALUE"""),734.0)</f>
        <v>734</v>
      </c>
      <c r="B735" s="6" t="str">
        <f>IFERROR(__xludf.DUMMYFUNCTION("""COMPUTED_VALUE"""),"Analisis Determinasi Terhadap Return Saham pada Perusahaan Telekomunikasi di BEI")</f>
        <v>Analisis Determinasi Terhadap Return Saham pada Perusahaan Telekomunikasi di BEI</v>
      </c>
      <c r="C735" s="7">
        <f>IFERROR(__xludf.DUMMYFUNCTION("""COMPUTED_VALUE"""),2024.0)</f>
        <v>2024</v>
      </c>
      <c r="D735" s="8" t="str">
        <f>IFERROR(__xludf.DUMMYFUNCTION("""COMPUTED_VALUE"""),"2023/2024")</f>
        <v>2023/2024</v>
      </c>
      <c r="E735" s="9">
        <f>IFERROR(__xludf.DUMMYFUNCTION("""COMPUTED_VALUE"""),45300.0)</f>
        <v>45300</v>
      </c>
      <c r="F735" s="5" t="str">
        <f>IFERROR(__xludf.DUMMYFUNCTION("""COMPUTED_VALUE"""),"Ganjil")</f>
        <v>Ganjil</v>
      </c>
      <c r="G735" s="5" t="str">
        <f>IFERROR(__xludf.DUMMYFUNCTION("""COMPUTED_VALUE"""),"Akuntansi")</f>
        <v>Akuntansi</v>
      </c>
      <c r="H735" s="10" t="str">
        <f>IFERROR(__xludf.DUMMYFUNCTION("""COMPUTED_VALUE"""),"Mahasiswa")</f>
        <v>Mahasiswa</v>
      </c>
      <c r="I735" s="6" t="str">
        <f>IFERROR(__xludf.DUMMYFUNCTION("""COMPUTED_VALUE"""),"Qori Fatimah")</f>
        <v>Qori Fatimah</v>
      </c>
      <c r="J735" s="6" t="str">
        <f>IFERROR(__xludf.DUMMYFUNCTION("""COMPUTED_VALUE"""),"Arif Nugroho Rachman")</f>
        <v>Arif Nugroho Rachman</v>
      </c>
      <c r="K735" s="6"/>
      <c r="L735" s="6"/>
      <c r="M735" s="6"/>
      <c r="N735" s="6"/>
      <c r="O735" s="6"/>
      <c r="P735" s="10" t="str">
        <f>IFERROR(__xludf.DUMMYFUNCTION("""COMPUTED_VALUE"""),"Qori Fatimah, Arif Nugroho Rachman")</f>
        <v>Qori Fatimah, Arif Nugroho Rachman</v>
      </c>
      <c r="Q735" s="11" t="str">
        <f>IFERROR(__xludf.DUMMYFUNCTION("""COMPUTED_VALUE"""),"https://ejournal.goacademica.com/index.php/jk/article/view/877")</f>
        <v>https://ejournal.goacademica.com/index.php/jk/article/view/877</v>
      </c>
      <c r="R735" s="6"/>
    </row>
    <row r="736">
      <c r="A736" s="5">
        <f>IFERROR(__xludf.DUMMYFUNCTION("""COMPUTED_VALUE"""),735.0)</f>
        <v>735</v>
      </c>
      <c r="B736" s="6" t="str">
        <f>IFERROR(__xludf.DUMMYFUNCTION("""COMPUTED_VALUE"""),"ALTRUISM MOTIVES IN THE BUSINESS SUSTAINABILITY OF WAROENG SPECIAL SAMBAL (SS) INDONESIA")</f>
        <v>ALTRUISM MOTIVES IN THE BUSINESS SUSTAINABILITY OF WAROENG SPECIAL SAMBAL (SS) INDONESIA</v>
      </c>
      <c r="C736" s="7">
        <f>IFERROR(__xludf.DUMMYFUNCTION("""COMPUTED_VALUE"""),2024.0)</f>
        <v>2024</v>
      </c>
      <c r="D736" s="8" t="str">
        <f>IFERROR(__xludf.DUMMYFUNCTION("""COMPUTED_VALUE"""),"2023/2024")</f>
        <v>2023/2024</v>
      </c>
      <c r="E736" s="9">
        <f>IFERROR(__xludf.DUMMYFUNCTION("""COMPUTED_VALUE"""),45310.0)</f>
        <v>45310</v>
      </c>
      <c r="F736" s="5" t="str">
        <f>IFERROR(__xludf.DUMMYFUNCTION("""COMPUTED_VALUE"""),"Ganjil")</f>
        <v>Ganjil</v>
      </c>
      <c r="G736" s="5" t="str">
        <f>IFERROR(__xludf.DUMMYFUNCTION("""COMPUTED_VALUE"""),"Manajemen")</f>
        <v>Manajemen</v>
      </c>
      <c r="H736" s="10" t="str">
        <f>IFERROR(__xludf.DUMMYFUNCTION("""COMPUTED_VALUE"""),"Dosen")</f>
        <v>Dosen</v>
      </c>
      <c r="I736" s="6" t="str">
        <f>IFERROR(__xludf.DUMMYFUNCTION("""COMPUTED_VALUE"""),"Nugroho Hasan")</f>
        <v>Nugroho Hasan</v>
      </c>
      <c r="J736" s="6" t="str">
        <f>IFERROR(__xludf.DUMMYFUNCTION("""COMPUTED_VALUE"""),"Dwiningtyas Padmaningrum")</f>
        <v>Dwiningtyas Padmaningrum</v>
      </c>
      <c r="K736" s="6" t="str">
        <f>IFERROR(__xludf.DUMMYFUNCTION("""COMPUTED_VALUE"""),"Ginanjar Rahmawan")</f>
        <v>Ginanjar Rahmawan</v>
      </c>
      <c r="L736" s="6" t="str">
        <f>IFERROR(__xludf.DUMMYFUNCTION("""COMPUTED_VALUE"""),"Eksa Rusdiyana")</f>
        <v>Eksa Rusdiyana</v>
      </c>
      <c r="M736" s="6"/>
      <c r="N736" s="6"/>
      <c r="O736" s="6"/>
      <c r="P736" s="10"/>
      <c r="Q736" s="11" t="str">
        <f>IFERROR(__xludf.DUMMYFUNCTION("""COMPUTED_VALUE"""),"https://ojsicobuss.stiesia.ac.id/index.php/icobuss1st/article/view/451")</f>
        <v>https://ojsicobuss.stiesia.ac.id/index.php/icobuss1st/article/view/451</v>
      </c>
      <c r="R736" s="6"/>
    </row>
    <row r="737">
      <c r="A737" s="5">
        <f>IFERROR(__xludf.DUMMYFUNCTION("""COMPUTED_VALUE"""),736.0)</f>
        <v>736</v>
      </c>
      <c r="B737" s="6" t="str">
        <f>IFERROR(__xludf.DUMMYFUNCTION("""COMPUTED_VALUE"""),"Loyalitas Pelanggan")</f>
        <v>Loyalitas Pelanggan</v>
      </c>
      <c r="C737" s="7">
        <f>IFERROR(__xludf.DUMMYFUNCTION("""COMPUTED_VALUE"""),2024.0)</f>
        <v>2024</v>
      </c>
      <c r="D737" s="8" t="str">
        <f>IFERROR(__xludf.DUMMYFUNCTION("""COMPUTED_VALUE"""),"2023/2024")</f>
        <v>2023/2024</v>
      </c>
      <c r="E737" s="9">
        <f>IFERROR(__xludf.DUMMYFUNCTION("""COMPUTED_VALUE"""),45311.0)</f>
        <v>45311</v>
      </c>
      <c r="F737" s="5" t="str">
        <f>IFERROR(__xludf.DUMMYFUNCTION("""COMPUTED_VALUE"""),"Ganjil")</f>
        <v>Ganjil</v>
      </c>
      <c r="G737" s="5" t="str">
        <f>IFERROR(__xludf.DUMMYFUNCTION("""COMPUTED_VALUE"""),"Manajemen")</f>
        <v>Manajemen</v>
      </c>
      <c r="H737" s="10" t="str">
        <f>IFERROR(__xludf.DUMMYFUNCTION("""COMPUTED_VALUE"""),"Dosen")</f>
        <v>Dosen</v>
      </c>
      <c r="I737" s="6" t="str">
        <f>IFERROR(__xludf.DUMMYFUNCTION("""COMPUTED_VALUE"""),"Budi Istiyanto")</f>
        <v>Budi Istiyanto</v>
      </c>
      <c r="J737" s="6"/>
      <c r="K737" s="6"/>
      <c r="L737" s="6"/>
      <c r="M737" s="6"/>
      <c r="N737" s="6"/>
      <c r="O737" s="6"/>
      <c r="P737" s="10"/>
      <c r="Q737" s="11" t="str">
        <f>IFERROR(__xludf.DUMMYFUNCTION("""COMPUTED_VALUE"""),"https://drive.google.com/file/d/1eNQ8fHWeVWKlj6uuU7JhhtbaMmPBeeAe/view?usp=drive_link")</f>
        <v>https://drive.google.com/file/d/1eNQ8fHWeVWKlj6uuU7JhhtbaMmPBeeAe/view?usp=drive_link</v>
      </c>
      <c r="R737" s="6"/>
    </row>
    <row r="738">
      <c r="A738" s="5">
        <f>IFERROR(__xludf.DUMMYFUNCTION("""COMPUTED_VALUE"""),737.0)</f>
        <v>737</v>
      </c>
      <c r="B738" s="6" t="str">
        <f>IFERROR(__xludf.DUMMYFUNCTION("""COMPUTED_VALUE"""),"Determinants of Motor Vehicle Tax Compliance In Surakarta City")</f>
        <v>Determinants of Motor Vehicle Tax Compliance In Surakarta City</v>
      </c>
      <c r="C738" s="7">
        <f>IFERROR(__xludf.DUMMYFUNCTION("""COMPUTED_VALUE"""),2024.0)</f>
        <v>2024</v>
      </c>
      <c r="D738" s="8" t="str">
        <f>IFERROR(__xludf.DUMMYFUNCTION("""COMPUTED_VALUE"""),"2023/2024")</f>
        <v>2023/2024</v>
      </c>
      <c r="E738" s="9">
        <f>IFERROR(__xludf.DUMMYFUNCTION("""COMPUTED_VALUE"""),45311.0)</f>
        <v>45311</v>
      </c>
      <c r="F738" s="5" t="str">
        <f>IFERROR(__xludf.DUMMYFUNCTION("""COMPUTED_VALUE"""),"Ganjil")</f>
        <v>Ganjil</v>
      </c>
      <c r="G738" s="5" t="str">
        <f>IFERROR(__xludf.DUMMYFUNCTION("""COMPUTED_VALUE"""),"Akuntansi")</f>
        <v>Akuntansi</v>
      </c>
      <c r="H738" s="10" t="str">
        <f>IFERROR(__xludf.DUMMYFUNCTION("""COMPUTED_VALUE"""),"Mahasiswa")</f>
        <v>Mahasiswa</v>
      </c>
      <c r="I738" s="6" t="str">
        <f>IFERROR(__xludf.DUMMYFUNCTION("""COMPUTED_VALUE"""),"Afifah Hasna Sayyidah")</f>
        <v>Afifah Hasna Sayyidah</v>
      </c>
      <c r="J738" s="6" t="str">
        <f>IFERROR(__xludf.DUMMYFUNCTION("""COMPUTED_VALUE"""),"Astuning Saharsini")</f>
        <v>Astuning Saharsini</v>
      </c>
      <c r="K738" s="6"/>
      <c r="L738" s="6"/>
      <c r="M738" s="6"/>
      <c r="N738" s="6"/>
      <c r="O738" s="6"/>
      <c r="P738" s="10" t="str">
        <f>IFERROR(__xludf.DUMMYFUNCTION("""COMPUTED_VALUE"""),"Afifah Hasna Sayyidah, Astuning Saharsini")</f>
        <v>Afifah Hasna Sayyidah, Astuning Saharsini</v>
      </c>
      <c r="Q738" s="11" t="str">
        <f>IFERROR(__xludf.DUMMYFUNCTION("""COMPUTED_VALUE"""),"https://jurnal.unived.ac.id/index.php/jambd/article/view/5555")</f>
        <v>https://jurnal.unived.ac.id/index.php/jambd/article/view/5555</v>
      </c>
      <c r="R738" s="6"/>
    </row>
    <row r="739">
      <c r="A739" s="5">
        <f>IFERROR(__xludf.DUMMYFUNCTION("""COMPUTED_VALUE"""),738.0)</f>
        <v>738</v>
      </c>
      <c r="B739" s="6" t="str">
        <f>IFERROR(__xludf.DUMMYFUNCTION("""COMPUTED_VALUE"""),"Pengaruh Online Customer Review, Online Customer Rating Dan Fitur Live Streaming Terhadap Keputusan Pembelian Produk Fashion Pada Marketplace Shopee Di Wilayah Surakarta")</f>
        <v>Pengaruh Online Customer Review, Online Customer Rating Dan Fitur Live Streaming Terhadap Keputusan Pembelian Produk Fashion Pada Marketplace Shopee Di Wilayah Surakarta</v>
      </c>
      <c r="C739" s="7">
        <f>IFERROR(__xludf.DUMMYFUNCTION("""COMPUTED_VALUE"""),2024.0)</f>
        <v>2024</v>
      </c>
      <c r="D739" s="8" t="str">
        <f>IFERROR(__xludf.DUMMYFUNCTION("""COMPUTED_VALUE"""),"2023/2024")</f>
        <v>2023/2024</v>
      </c>
      <c r="E739" s="9">
        <f>IFERROR(__xludf.DUMMYFUNCTION("""COMPUTED_VALUE"""),45312.0)</f>
        <v>45312</v>
      </c>
      <c r="F739" s="5" t="str">
        <f>IFERROR(__xludf.DUMMYFUNCTION("""COMPUTED_VALUE"""),"Ganjil")</f>
        <v>Ganjil</v>
      </c>
      <c r="G739" s="5" t="str">
        <f>IFERROR(__xludf.DUMMYFUNCTION("""COMPUTED_VALUE"""),"Akuntansi")</f>
        <v>Akuntansi</v>
      </c>
      <c r="H739" s="10" t="str">
        <f>IFERROR(__xludf.DUMMYFUNCTION("""COMPUTED_VALUE"""),"Mahasiswa")</f>
        <v>Mahasiswa</v>
      </c>
      <c r="I739" s="6" t="str">
        <f>IFERROR(__xludf.DUMMYFUNCTION("""COMPUTED_VALUE"""),"Isna Nur Riana")</f>
        <v>Isna Nur Riana</v>
      </c>
      <c r="J739" s="6" t="str">
        <f>IFERROR(__xludf.DUMMYFUNCTION("""COMPUTED_VALUE"""),"Tri Ratna Pamikatsih")</f>
        <v>Tri Ratna Pamikatsih</v>
      </c>
      <c r="K739" s="6"/>
      <c r="L739" s="6"/>
      <c r="M739" s="6"/>
      <c r="N739" s="6"/>
      <c r="O739" s="6"/>
      <c r="P739" s="10" t="str">
        <f>IFERROR(__xludf.DUMMYFUNCTION("""COMPUTED_VALUE"""),"Isna Nur Riana, Tri Ratna Pamikatsih")</f>
        <v>Isna Nur Riana, Tri Ratna Pamikatsih</v>
      </c>
      <c r="Q739" s="11" t="str">
        <f>IFERROR(__xludf.DUMMYFUNCTION("""COMPUTED_VALUE"""),"https://journal.unimar-amni.ac.id/index.php/EBISMEN/article/view/1909")</f>
        <v>https://journal.unimar-amni.ac.id/index.php/EBISMEN/article/view/1909</v>
      </c>
      <c r="R739" s="6"/>
    </row>
    <row r="740">
      <c r="A740" s="5">
        <f>IFERROR(__xludf.DUMMYFUNCTION("""COMPUTED_VALUE"""),739.0)</f>
        <v>739</v>
      </c>
      <c r="B740" s="6" t="str">
        <f>IFERROR(__xludf.DUMMYFUNCTION("""COMPUTED_VALUE"""),"PENDAMPINGAN PERENCANAAN KEUANGAN BAGI IBU RUMAH TANGGA DI KECAMATAN GROGOL SUKOHARJO")</f>
        <v>PENDAMPINGAN PERENCANAAN KEUANGAN BAGI IBU RUMAH TANGGA DI KECAMATAN GROGOL SUKOHARJO</v>
      </c>
      <c r="C740" s="7">
        <f>IFERROR(__xludf.DUMMYFUNCTION("""COMPUTED_VALUE"""),2024.0)</f>
        <v>2024</v>
      </c>
      <c r="D740" s="8" t="str">
        <f>IFERROR(__xludf.DUMMYFUNCTION("""COMPUTED_VALUE"""),"2023/2024")</f>
        <v>2023/2024</v>
      </c>
      <c r="E740" s="9">
        <f>IFERROR(__xludf.DUMMYFUNCTION("""COMPUTED_VALUE"""),45312.0)</f>
        <v>45312</v>
      </c>
      <c r="F740" s="5" t="str">
        <f>IFERROR(__xludf.DUMMYFUNCTION("""COMPUTED_VALUE"""),"Ganjil")</f>
        <v>Ganjil</v>
      </c>
      <c r="G740" s="5" t="str">
        <f>IFERROR(__xludf.DUMMYFUNCTION("""COMPUTED_VALUE"""),"Manajemen")</f>
        <v>Manajemen</v>
      </c>
      <c r="H740" s="10" t="str">
        <f>IFERROR(__xludf.DUMMYFUNCTION("""COMPUTED_VALUE"""),"Dosen")</f>
        <v>Dosen</v>
      </c>
      <c r="I740" s="6" t="str">
        <f>IFERROR(__xludf.DUMMYFUNCTION("""COMPUTED_VALUE"""),"Ari Susanti")</f>
        <v>Ari Susanti</v>
      </c>
      <c r="J740" s="6" t="str">
        <f>IFERROR(__xludf.DUMMYFUNCTION("""COMPUTED_VALUE"""),"Era Trianita Saputra")</f>
        <v>Era Trianita Saputra</v>
      </c>
      <c r="K740" s="6" t="str">
        <f>IFERROR(__xludf.DUMMYFUNCTION("""COMPUTED_VALUE"""),"Astuning Saharsini")</f>
        <v>Astuning Saharsini</v>
      </c>
      <c r="L740" s="6" t="str">
        <f>IFERROR(__xludf.DUMMYFUNCTION("""COMPUTED_VALUE"""),"Dewi Ika Octavia")</f>
        <v>Dewi Ika Octavia</v>
      </c>
      <c r="M740" s="6" t="str">
        <f>IFERROR(__xludf.DUMMYFUNCTION("""COMPUTED_VALUE"""),"Arif Farida")</f>
        <v>Arif Farida</v>
      </c>
      <c r="N740" s="6" t="str">
        <f>IFERROR(__xludf.DUMMYFUNCTION("""COMPUTED_VALUE"""),"Nimas Vian Ayu Pratama")</f>
        <v>Nimas Vian Ayu Pratama</v>
      </c>
      <c r="O740" s="6"/>
      <c r="P740" s="10"/>
      <c r="Q740" s="11" t="str">
        <f>IFERROR(__xludf.DUMMYFUNCTION("""COMPUTED_VALUE"""),"https://ejournal.utp.ac.id/index.php/ganesha/article/view/2972/520521991")</f>
        <v>https://ejournal.utp.ac.id/index.php/ganesha/article/view/2972/520521991</v>
      </c>
      <c r="R740" s="6"/>
    </row>
    <row r="741">
      <c r="A741" s="5">
        <f>IFERROR(__xludf.DUMMYFUNCTION("""COMPUTED_VALUE"""),740.0)</f>
        <v>740</v>
      </c>
      <c r="B741" s="6" t="str">
        <f>IFERROR(__xludf.DUMMYFUNCTION("""COMPUTED_VALUE"""),"Pengaruh Merek, Inovasi Produk dan Promosi Terhadap Keputusan Pembelian Hair Care Makarizo")</f>
        <v>Pengaruh Merek, Inovasi Produk dan Promosi Terhadap Keputusan Pembelian Hair Care Makarizo</v>
      </c>
      <c r="C741" s="7">
        <f>IFERROR(__xludf.DUMMYFUNCTION("""COMPUTED_VALUE"""),2024.0)</f>
        <v>2024</v>
      </c>
      <c r="D741" s="8" t="str">
        <f>IFERROR(__xludf.DUMMYFUNCTION("""COMPUTED_VALUE"""),"2023/2024")</f>
        <v>2023/2024</v>
      </c>
      <c r="E741" s="9">
        <f>IFERROR(__xludf.DUMMYFUNCTION("""COMPUTED_VALUE"""),45315.0)</f>
        <v>45315</v>
      </c>
      <c r="F741" s="5" t="str">
        <f>IFERROR(__xludf.DUMMYFUNCTION("""COMPUTED_VALUE"""),"Ganjil")</f>
        <v>Ganjil</v>
      </c>
      <c r="G741" s="5" t="str">
        <f>IFERROR(__xludf.DUMMYFUNCTION("""COMPUTED_VALUE"""),"Manajemen")</f>
        <v>Manajemen</v>
      </c>
      <c r="H741" s="10" t="str">
        <f>IFERROR(__xludf.DUMMYFUNCTION("""COMPUTED_VALUE"""),"Mahasiswa")</f>
        <v>Mahasiswa</v>
      </c>
      <c r="I741" s="6" t="str">
        <f>IFERROR(__xludf.DUMMYFUNCTION("""COMPUTED_VALUE"""),"Bergita Valen Candra Eliana")</f>
        <v>Bergita Valen Candra Eliana</v>
      </c>
      <c r="J741" s="6" t="str">
        <f>IFERROR(__xludf.DUMMYFUNCTION("""COMPUTED_VALUE"""),"Andri Nurtantiono")</f>
        <v>Andri Nurtantiono</v>
      </c>
      <c r="K741" s="6"/>
      <c r="L741" s="6"/>
      <c r="M741" s="6"/>
      <c r="N741" s="6"/>
      <c r="O741" s="6"/>
      <c r="P741" s="10" t="str">
        <f>IFERROR(__xludf.DUMMYFUNCTION("""COMPUTED_VALUE"""),"Bergita Valen Candra Eliana, Andri Nurtantiono")</f>
        <v>Bergita Valen Candra Eliana, Andri Nurtantiono</v>
      </c>
      <c r="Q741" s="11" t="str">
        <f>IFERROR(__xludf.DUMMYFUNCTION("""COMPUTED_VALUE"""),"https://garuda.kemdikbud.go.id/documents/detail/4938534")</f>
        <v>https://garuda.kemdikbud.go.id/documents/detail/4938534</v>
      </c>
      <c r="R741" s="6"/>
    </row>
    <row r="742">
      <c r="A742" s="5">
        <f>IFERROR(__xludf.DUMMYFUNCTION("""COMPUTED_VALUE"""),741.0)</f>
        <v>741</v>
      </c>
      <c r="B742" s="6" t="str">
        <f>IFERROR(__xludf.DUMMYFUNCTION("""COMPUTED_VALUE"""),"PENGARUH HARGA, KEMASAN DAN PROMOSI TERHADAP KEPUTUSAN PEMBELIAN ROKOK GUDANG GARAM DI DESA MANANG")</f>
        <v>PENGARUH HARGA, KEMASAN DAN PROMOSI TERHADAP KEPUTUSAN PEMBELIAN ROKOK GUDANG GARAM DI DESA MANANG</v>
      </c>
      <c r="C742" s="7">
        <f>IFERROR(__xludf.DUMMYFUNCTION("""COMPUTED_VALUE"""),2024.0)</f>
        <v>2024</v>
      </c>
      <c r="D742" s="8" t="str">
        <f>IFERROR(__xludf.DUMMYFUNCTION("""COMPUTED_VALUE"""),"2023/2024")</f>
        <v>2023/2024</v>
      </c>
      <c r="E742" s="9">
        <f>IFERROR(__xludf.DUMMYFUNCTION("""COMPUTED_VALUE"""),45316.0)</f>
        <v>45316</v>
      </c>
      <c r="F742" s="5" t="str">
        <f>IFERROR(__xludf.DUMMYFUNCTION("""COMPUTED_VALUE"""),"Ganjil")</f>
        <v>Ganjil</v>
      </c>
      <c r="G742" s="5" t="str">
        <f>IFERROR(__xludf.DUMMYFUNCTION("""COMPUTED_VALUE"""),"Manajemen")</f>
        <v>Manajemen</v>
      </c>
      <c r="H742" s="10" t="str">
        <f>IFERROR(__xludf.DUMMYFUNCTION("""COMPUTED_VALUE"""),"Mahasiswa")</f>
        <v>Mahasiswa</v>
      </c>
      <c r="I742" s="6" t="str">
        <f>IFERROR(__xludf.DUMMYFUNCTION("""COMPUTED_VALUE"""),"Mery Artanti Ningsih")</f>
        <v>Mery Artanti Ningsih</v>
      </c>
      <c r="J742" s="6" t="str">
        <f>IFERROR(__xludf.DUMMYFUNCTION("""COMPUTED_VALUE"""),"Budi Istiyanto")</f>
        <v>Budi Istiyanto</v>
      </c>
      <c r="K742" s="6"/>
      <c r="L742" s="6"/>
      <c r="M742" s="6"/>
      <c r="N742" s="6"/>
      <c r="O742" s="6"/>
      <c r="P742" s="10" t="str">
        <f>IFERROR(__xludf.DUMMYFUNCTION("""COMPUTED_VALUE"""),"Mery Artanti Ningsih, Budi Istiyanto")</f>
        <v>Mery Artanti Ningsih, Budi Istiyanto</v>
      </c>
      <c r="Q742" s="11" t="str">
        <f>IFERROR(__xludf.DUMMYFUNCTION("""COMPUTED_VALUE"""),"https://repository.stiesurakarta.ac.id/submission/07237eb0-9c8c-46a0-996c-34192da4016a")</f>
        <v>https://repository.stiesurakarta.ac.id/submission/07237eb0-9c8c-46a0-996c-34192da4016a</v>
      </c>
      <c r="R742" s="6"/>
    </row>
    <row r="743">
      <c r="A743" s="5">
        <f>IFERROR(__xludf.DUMMYFUNCTION("""COMPUTED_VALUE"""),742.0)</f>
        <v>742</v>
      </c>
      <c r="B743" s="6" t="str">
        <f>IFERROR(__xludf.DUMMYFUNCTION("""COMPUTED_VALUE"""),"Pengaruh Profitabilitas,Likuiditas,Dan Leverage Terhadap Penghindaran Pajak Pada Perusahaan Food&amp;Beverage Yang Terdaftar Di Bursa Efek Indonesia Tahun 2018-2020")</f>
        <v>Pengaruh Profitabilitas,Likuiditas,Dan Leverage Terhadap Penghindaran Pajak Pada Perusahaan Food&amp;Beverage Yang Terdaftar Di Bursa Efek Indonesia Tahun 2018-2020</v>
      </c>
      <c r="C743" s="7">
        <f>IFERROR(__xludf.DUMMYFUNCTION("""COMPUTED_VALUE"""),2024.0)</f>
        <v>2024</v>
      </c>
      <c r="D743" s="8" t="str">
        <f>IFERROR(__xludf.DUMMYFUNCTION("""COMPUTED_VALUE"""),"2023/2024")</f>
        <v>2023/2024</v>
      </c>
      <c r="E743" s="9">
        <f>IFERROR(__xludf.DUMMYFUNCTION("""COMPUTED_VALUE"""),45316.0)</f>
        <v>45316</v>
      </c>
      <c r="F743" s="5" t="str">
        <f>IFERROR(__xludf.DUMMYFUNCTION("""COMPUTED_VALUE"""),"Ganjil")</f>
        <v>Ganjil</v>
      </c>
      <c r="G743" s="5" t="str">
        <f>IFERROR(__xludf.DUMMYFUNCTION("""COMPUTED_VALUE"""),"Akuntansi")</f>
        <v>Akuntansi</v>
      </c>
      <c r="H743" s="10" t="str">
        <f>IFERROR(__xludf.DUMMYFUNCTION("""COMPUTED_VALUE"""),"Mahasiswa")</f>
        <v>Mahasiswa</v>
      </c>
      <c r="I743" s="6" t="str">
        <f>IFERROR(__xludf.DUMMYFUNCTION("""COMPUTED_VALUE"""),"Sulastri")</f>
        <v>Sulastri</v>
      </c>
      <c r="J743" s="6" t="str">
        <f>IFERROR(__xludf.DUMMYFUNCTION("""COMPUTED_VALUE"""),"Nur Kholis")</f>
        <v>Nur Kholis</v>
      </c>
      <c r="K743" s="6"/>
      <c r="L743" s="6"/>
      <c r="M743" s="6"/>
      <c r="N743" s="6"/>
      <c r="O743" s="6"/>
      <c r="P743" s="10" t="str">
        <f>IFERROR(__xludf.DUMMYFUNCTION("""COMPUTED_VALUE"""),"Sulastri, Nur Kholis")</f>
        <v>Sulastri, Nur Kholis</v>
      </c>
      <c r="Q743" s="11" t="str">
        <f>IFERROR(__xludf.DUMMYFUNCTION("""COMPUTED_VALUE"""),"https://repository.stiesurakarta.ac.id/submission/1d52fdba-1aa2-4185-95b4-d9ad7d4bd279")</f>
        <v>https://repository.stiesurakarta.ac.id/submission/1d52fdba-1aa2-4185-95b4-d9ad7d4bd279</v>
      </c>
      <c r="R743" s="6"/>
    </row>
    <row r="744">
      <c r="A744" s="5">
        <f>IFERROR(__xludf.DUMMYFUNCTION("""COMPUTED_VALUE"""),743.0)</f>
        <v>743</v>
      </c>
      <c r="B744" s="6" t="str">
        <f>IFERROR(__xludf.DUMMYFUNCTION("""COMPUTED_VALUE"""),"PENGARUH DAYA TARIK, LOKASI, DAN SOSIAL MEDIA MARKETING TERHADAP MINAT BERKUNJUNG KE PLOSO CAFFE WATU WAYANG DI DESA PLOSO JUMAPOLO KABUPATEN KARANGANYAR")</f>
        <v>PENGARUH DAYA TARIK, LOKASI, DAN SOSIAL MEDIA MARKETING TERHADAP MINAT BERKUNJUNG KE PLOSO CAFFE WATU WAYANG DI DESA PLOSO JUMAPOLO KABUPATEN KARANGANYAR</v>
      </c>
      <c r="C744" s="7">
        <f>IFERROR(__xludf.DUMMYFUNCTION("""COMPUTED_VALUE"""),2024.0)</f>
        <v>2024</v>
      </c>
      <c r="D744" s="8" t="str">
        <f>IFERROR(__xludf.DUMMYFUNCTION("""COMPUTED_VALUE"""),"2023/2024")</f>
        <v>2023/2024</v>
      </c>
      <c r="E744" s="9">
        <f>IFERROR(__xludf.DUMMYFUNCTION("""COMPUTED_VALUE"""),45318.0)</f>
        <v>45318</v>
      </c>
      <c r="F744" s="5" t="str">
        <f>IFERROR(__xludf.DUMMYFUNCTION("""COMPUTED_VALUE"""),"Ganjil")</f>
        <v>Ganjil</v>
      </c>
      <c r="G744" s="5" t="str">
        <f>IFERROR(__xludf.DUMMYFUNCTION("""COMPUTED_VALUE"""),"Akuntansi")</f>
        <v>Akuntansi</v>
      </c>
      <c r="H744" s="10" t="str">
        <f>IFERROR(__xludf.DUMMYFUNCTION("""COMPUTED_VALUE"""),"Mahasiswa")</f>
        <v>Mahasiswa</v>
      </c>
      <c r="I744" s="6" t="str">
        <f>IFERROR(__xludf.DUMMYFUNCTION("""COMPUTED_VALUE"""),"Feronika Febi Setyaningsih")</f>
        <v>Feronika Febi Setyaningsih</v>
      </c>
      <c r="J744" s="6" t="str">
        <f>IFERROR(__xludf.DUMMYFUNCTION("""COMPUTED_VALUE"""),"Tri Ratna Pamikatsih")</f>
        <v>Tri Ratna Pamikatsih</v>
      </c>
      <c r="K744" s="6"/>
      <c r="L744" s="6"/>
      <c r="M744" s="6"/>
      <c r="N744" s="6"/>
      <c r="O744" s="6"/>
      <c r="P744" s="10" t="str">
        <f>IFERROR(__xludf.DUMMYFUNCTION("""COMPUTED_VALUE"""),"Feronika Febi Setyaningsih, Tri Ratna Pamikatsih")</f>
        <v>Feronika Febi Setyaningsih, Tri Ratna Pamikatsih</v>
      </c>
      <c r="Q744" s="11" t="str">
        <f>IFERROR(__xludf.DUMMYFUNCTION("""COMPUTED_VALUE"""),"https://jfisip.uniss.ac.id/index.php/journals/article/view/66")</f>
        <v>https://jfisip.uniss.ac.id/index.php/journals/article/view/66</v>
      </c>
      <c r="R744" s="6"/>
    </row>
    <row r="745">
      <c r="A745" s="5">
        <f>IFERROR(__xludf.DUMMYFUNCTION("""COMPUTED_VALUE"""),744.0)</f>
        <v>744</v>
      </c>
      <c r="B745" s="6" t="str">
        <f>IFERROR(__xludf.DUMMYFUNCTION("""COMPUTED_VALUE"""),"PENGARUH BRAND IMAGE, PERSEPSI KUALITAS DAN WOM TERHADAP KEPUTUSAN PEMBELIAN SMARTPHONE MEREK SAMSUNG")</f>
        <v>PENGARUH BRAND IMAGE, PERSEPSI KUALITAS DAN WOM TERHADAP KEPUTUSAN PEMBELIAN SMARTPHONE MEREK SAMSUNG</v>
      </c>
      <c r="C745" s="7">
        <f>IFERROR(__xludf.DUMMYFUNCTION("""COMPUTED_VALUE"""),2024.0)</f>
        <v>2024</v>
      </c>
      <c r="D745" s="8" t="str">
        <f>IFERROR(__xludf.DUMMYFUNCTION("""COMPUTED_VALUE"""),"2023/2024")</f>
        <v>2023/2024</v>
      </c>
      <c r="E745" s="9">
        <f>IFERROR(__xludf.DUMMYFUNCTION("""COMPUTED_VALUE"""),45321.0)</f>
        <v>45321</v>
      </c>
      <c r="F745" s="5" t="str">
        <f>IFERROR(__xludf.DUMMYFUNCTION("""COMPUTED_VALUE"""),"Ganjil")</f>
        <v>Ganjil</v>
      </c>
      <c r="G745" s="5" t="str">
        <f>IFERROR(__xludf.DUMMYFUNCTION("""COMPUTED_VALUE"""),"Manajemen")</f>
        <v>Manajemen</v>
      </c>
      <c r="H745" s="10" t="str">
        <f>IFERROR(__xludf.DUMMYFUNCTION("""COMPUTED_VALUE"""),"Mahasiswa")</f>
        <v>Mahasiswa</v>
      </c>
      <c r="I745" s="6" t="str">
        <f>IFERROR(__xludf.DUMMYFUNCTION("""COMPUTED_VALUE"""),"Venny Erisca")</f>
        <v>Venny Erisca</v>
      </c>
      <c r="J745" s="6" t="str">
        <f>IFERROR(__xludf.DUMMYFUNCTION("""COMPUTED_VALUE"""),"Muhammad Jalari")</f>
        <v>Muhammad Jalari</v>
      </c>
      <c r="K745" s="6"/>
      <c r="L745" s="6"/>
      <c r="M745" s="6"/>
      <c r="N745" s="6"/>
      <c r="O745" s="6"/>
      <c r="P745" s="10" t="str">
        <f>IFERROR(__xludf.DUMMYFUNCTION("""COMPUTED_VALUE"""),"Venny Erisca, Muhammad Jalari")</f>
        <v>Venny Erisca, Muhammad Jalari</v>
      </c>
      <c r="Q745" s="11" t="str">
        <f>IFERROR(__xludf.DUMMYFUNCTION("""COMPUTED_VALUE"""),"https://ejurnal.ung.ac.id/index.php/JIMB/article/view/23550")</f>
        <v>https://ejurnal.ung.ac.id/index.php/JIMB/article/view/23550</v>
      </c>
      <c r="R745" s="6"/>
    </row>
    <row r="746">
      <c r="A746" s="5">
        <f>IFERROR(__xludf.DUMMYFUNCTION("""COMPUTED_VALUE"""),745.0)</f>
        <v>745</v>
      </c>
      <c r="B746" s="6" t="str">
        <f>IFERROR(__xludf.DUMMYFUNCTION("""COMPUTED_VALUE"""),"PENGARUH PENDAPATAN, PENGETAHUAN INVESTASI, DAN LITERASI KEUANGAN TERHADAP MINAT INVESTASI TABUNGAN EMAS DI PEGADAIAN PADA GEN Z DI WILAYAH SOLO RAYA")</f>
        <v>PENGARUH PENDAPATAN, PENGETAHUAN INVESTASI, DAN LITERASI KEUANGAN TERHADAP MINAT INVESTASI TABUNGAN EMAS DI PEGADAIAN PADA GEN Z DI WILAYAH SOLO RAYA</v>
      </c>
      <c r="C746" s="7">
        <f>IFERROR(__xludf.DUMMYFUNCTION("""COMPUTED_VALUE"""),2024.0)</f>
        <v>2024</v>
      </c>
      <c r="D746" s="8" t="str">
        <f>IFERROR(__xludf.DUMMYFUNCTION("""COMPUTED_VALUE"""),"2023/2024")</f>
        <v>2023/2024</v>
      </c>
      <c r="E746" s="9">
        <f>IFERROR(__xludf.DUMMYFUNCTION("""COMPUTED_VALUE"""),45322.0)</f>
        <v>45322</v>
      </c>
      <c r="F746" s="5" t="str">
        <f>IFERROR(__xludf.DUMMYFUNCTION("""COMPUTED_VALUE"""),"Ganjil")</f>
        <v>Ganjil</v>
      </c>
      <c r="G746" s="5" t="str">
        <f>IFERROR(__xludf.DUMMYFUNCTION("""COMPUTED_VALUE"""),"Manajemen")</f>
        <v>Manajemen</v>
      </c>
      <c r="H746" s="10" t="str">
        <f>IFERROR(__xludf.DUMMYFUNCTION("""COMPUTED_VALUE"""),"Mahasiswa")</f>
        <v>Mahasiswa</v>
      </c>
      <c r="I746" s="6" t="str">
        <f>IFERROR(__xludf.DUMMYFUNCTION("""COMPUTED_VALUE"""),"Aris Wahyu Mulyadi")</f>
        <v>Aris Wahyu Mulyadi</v>
      </c>
      <c r="J746" s="6" t="str">
        <f>IFERROR(__xludf.DUMMYFUNCTION("""COMPUTED_VALUE"""),"Ari Susanti")</f>
        <v>Ari Susanti</v>
      </c>
      <c r="K746" s="6"/>
      <c r="L746" s="6"/>
      <c r="M746" s="6"/>
      <c r="N746" s="6"/>
      <c r="O746" s="6"/>
      <c r="P746" s="10" t="str">
        <f>IFERROR(__xludf.DUMMYFUNCTION("""COMPUTED_VALUE"""),"Aris Wahyu Mulyadi, Ari Susanti")</f>
        <v>Aris Wahyu Mulyadi, Ari Susanti</v>
      </c>
      <c r="Q746" s="11" t="str">
        <f>IFERROR(__xludf.DUMMYFUNCTION("""COMPUTED_VALUE"""),"https://jurnal.studiinovasi.id/jsi/article/view/149")</f>
        <v>https://jurnal.studiinovasi.id/jsi/article/view/149</v>
      </c>
      <c r="R746" s="6"/>
    </row>
    <row r="747">
      <c r="A747" s="5">
        <f>IFERROR(__xludf.DUMMYFUNCTION("""COMPUTED_VALUE"""),746.0)</f>
        <v>746</v>
      </c>
      <c r="B747" s="6" t="str">
        <f>IFERROR(__xludf.DUMMYFUNCTION("""COMPUTED_VALUE"""),"ANALISA ELEMEN YANG MEMPENGARUHI LOYALITAS KARYAWAN DI CV SONIN GRAFIKA")</f>
        <v>ANALISA ELEMEN YANG MEMPENGARUHI LOYALITAS KARYAWAN DI CV SONIN GRAFIKA</v>
      </c>
      <c r="C747" s="7">
        <f>IFERROR(__xludf.DUMMYFUNCTION("""COMPUTED_VALUE"""),2024.0)</f>
        <v>2024</v>
      </c>
      <c r="D747" s="8" t="str">
        <f>IFERROR(__xludf.DUMMYFUNCTION("""COMPUTED_VALUE"""),"2023/2024")</f>
        <v>2023/2024</v>
      </c>
      <c r="E747" s="9">
        <f>IFERROR(__xludf.DUMMYFUNCTION("""COMPUTED_VALUE"""),45323.0)</f>
        <v>45323</v>
      </c>
      <c r="F747" s="5" t="str">
        <f>IFERROR(__xludf.DUMMYFUNCTION("""COMPUTED_VALUE"""),"Ganjil")</f>
        <v>Ganjil</v>
      </c>
      <c r="G747" s="5" t="str">
        <f>IFERROR(__xludf.DUMMYFUNCTION("""COMPUTED_VALUE"""),"Manajemen")</f>
        <v>Manajemen</v>
      </c>
      <c r="H747" s="10" t="str">
        <f>IFERROR(__xludf.DUMMYFUNCTION("""COMPUTED_VALUE"""),"Mahasiswa")</f>
        <v>Mahasiswa</v>
      </c>
      <c r="I747" s="6" t="str">
        <f>IFERROR(__xludf.DUMMYFUNCTION("""COMPUTED_VALUE"""),"Intan Mutiara")</f>
        <v>Intan Mutiara</v>
      </c>
      <c r="J747" s="6" t="str">
        <f>IFERROR(__xludf.DUMMYFUNCTION("""COMPUTED_VALUE"""),"Heny Kurnianingsih")</f>
        <v>Heny Kurnianingsih</v>
      </c>
      <c r="K747" s="6"/>
      <c r="L747" s="6"/>
      <c r="M747" s="6"/>
      <c r="N747" s="6"/>
      <c r="O747" s="6"/>
      <c r="P747" s="10" t="str">
        <f>IFERROR(__xludf.DUMMYFUNCTION("""COMPUTED_VALUE"""),"Intan Mutiara, Heny Kurnianingsih")</f>
        <v>Intan Mutiara, Heny Kurnianingsih</v>
      </c>
      <c r="Q747" s="11" t="str">
        <f>IFERROR(__xludf.DUMMYFUNCTION("""COMPUTED_VALUE"""),"https://jurnalhost.com/index.php/jpe/article/view/647")</f>
        <v>https://jurnalhost.com/index.php/jpe/article/view/647</v>
      </c>
      <c r="R747" s="6"/>
    </row>
    <row r="748">
      <c r="A748" s="5">
        <f>IFERROR(__xludf.DUMMYFUNCTION("""COMPUTED_VALUE"""),747.0)</f>
        <v>747</v>
      </c>
      <c r="B748" s="6" t="str">
        <f>IFERROR(__xludf.DUMMYFUNCTION("""COMPUTED_VALUE"""),"Pengaruh Komunikasi, Brand Image dan Kualitas Pelayanan Terhadap Keputusan Pembelian Pada NUKU.ID")</f>
        <v>Pengaruh Komunikasi, Brand Image dan Kualitas Pelayanan Terhadap Keputusan Pembelian Pada NUKU.ID</v>
      </c>
      <c r="C748" s="7">
        <f>IFERROR(__xludf.DUMMYFUNCTION("""COMPUTED_VALUE"""),2024.0)</f>
        <v>2024</v>
      </c>
      <c r="D748" s="8" t="str">
        <f>IFERROR(__xludf.DUMMYFUNCTION("""COMPUTED_VALUE"""),"2023/2024")</f>
        <v>2023/2024</v>
      </c>
      <c r="E748" s="9">
        <f>IFERROR(__xludf.DUMMYFUNCTION("""COMPUTED_VALUE"""),45324.0)</f>
        <v>45324</v>
      </c>
      <c r="F748" s="5" t="str">
        <f>IFERROR(__xludf.DUMMYFUNCTION("""COMPUTED_VALUE"""),"Ganjil")</f>
        <v>Ganjil</v>
      </c>
      <c r="G748" s="5" t="str">
        <f>IFERROR(__xludf.DUMMYFUNCTION("""COMPUTED_VALUE"""),"Manajemen")</f>
        <v>Manajemen</v>
      </c>
      <c r="H748" s="10" t="str">
        <f>IFERROR(__xludf.DUMMYFUNCTION("""COMPUTED_VALUE"""),"Mahasiswa")</f>
        <v>Mahasiswa</v>
      </c>
      <c r="I748" s="6" t="str">
        <f>IFERROR(__xludf.DUMMYFUNCTION("""COMPUTED_VALUE"""),"Thoriq Yuni Pramudya")</f>
        <v>Thoriq Yuni Pramudya</v>
      </c>
      <c r="J748" s="6" t="str">
        <f>IFERROR(__xludf.DUMMYFUNCTION("""COMPUTED_VALUE"""),"Aditya Liliyan")</f>
        <v>Aditya Liliyan</v>
      </c>
      <c r="K748" s="6"/>
      <c r="L748" s="6"/>
      <c r="M748" s="6"/>
      <c r="N748" s="6"/>
      <c r="O748" s="6"/>
      <c r="P748" s="10" t="str">
        <f>IFERROR(__xludf.DUMMYFUNCTION("""COMPUTED_VALUE"""),"Thoriq Yuni Pramudya, Aditya Liliyan")</f>
        <v>Thoriq Yuni Pramudya, Aditya Liliyan</v>
      </c>
      <c r="Q748" s="11" t="str">
        <f>IFERROR(__xludf.DUMMYFUNCTION("""COMPUTED_VALUE"""),"https://repository.stiesurakarta.ac.id/submission/9d92a763-936c-4114-82c0-fe27c4b44942")</f>
        <v>https://repository.stiesurakarta.ac.id/submission/9d92a763-936c-4114-82c0-fe27c4b44942</v>
      </c>
      <c r="R748" s="6"/>
    </row>
    <row r="749">
      <c r="A749" s="5">
        <f>IFERROR(__xludf.DUMMYFUNCTION("""COMPUTED_VALUE"""),748.0)</f>
        <v>748</v>
      </c>
      <c r="B749" s="6" t="str">
        <f>IFERROR(__xludf.DUMMYFUNCTION("""COMPUTED_VALUE"""),"Determinan Pengelolaan Keuangan Mahasiswa STIE Surakarta")</f>
        <v>Determinan Pengelolaan Keuangan Mahasiswa STIE Surakarta</v>
      </c>
      <c r="C749" s="7">
        <f>IFERROR(__xludf.DUMMYFUNCTION("""COMPUTED_VALUE"""),2024.0)</f>
        <v>2024</v>
      </c>
      <c r="D749" s="8" t="str">
        <f>IFERROR(__xludf.DUMMYFUNCTION("""COMPUTED_VALUE"""),"2023/2024")</f>
        <v>2023/2024</v>
      </c>
      <c r="E749" s="9">
        <f>IFERROR(__xludf.DUMMYFUNCTION("""COMPUTED_VALUE"""),45324.0)</f>
        <v>45324</v>
      </c>
      <c r="F749" s="5" t="str">
        <f>IFERROR(__xludf.DUMMYFUNCTION("""COMPUTED_VALUE"""),"Ganjil")</f>
        <v>Ganjil</v>
      </c>
      <c r="G749" s="5" t="str">
        <f>IFERROR(__xludf.DUMMYFUNCTION("""COMPUTED_VALUE"""),"Akuntansi")</f>
        <v>Akuntansi</v>
      </c>
      <c r="H749" s="10" t="str">
        <f>IFERROR(__xludf.DUMMYFUNCTION("""COMPUTED_VALUE"""),"Mahasiswa")</f>
        <v>Mahasiswa</v>
      </c>
      <c r="I749" s="6" t="str">
        <f>IFERROR(__xludf.DUMMYFUNCTION("""COMPUTED_VALUE"""),"Adelia Mega Hutami")</f>
        <v>Adelia Mega Hutami</v>
      </c>
      <c r="J749" s="6" t="str">
        <f>IFERROR(__xludf.DUMMYFUNCTION("""COMPUTED_VALUE"""),"Astuning Saharsini")</f>
        <v>Astuning Saharsini</v>
      </c>
      <c r="K749" s="6"/>
      <c r="L749" s="6"/>
      <c r="M749" s="6"/>
      <c r="N749" s="6"/>
      <c r="O749" s="6"/>
      <c r="P749" s="10" t="str">
        <f>IFERROR(__xludf.DUMMYFUNCTION("""COMPUTED_VALUE"""),"Adelia Mega Hutami, Astuning Saharsini")</f>
        <v>Adelia Mega Hutami, Astuning Saharsini</v>
      </c>
      <c r="Q749" s="11" t="str">
        <f>IFERROR(__xludf.DUMMYFUNCTION("""COMPUTED_VALUE"""),"https://journal.areai.or.id/index.php/anggaran/article/view/378")</f>
        <v>https://journal.areai.or.id/index.php/anggaran/article/view/378</v>
      </c>
      <c r="R749" s="6"/>
    </row>
    <row r="750">
      <c r="A750" s="5">
        <f>IFERROR(__xludf.DUMMYFUNCTION("""COMPUTED_VALUE"""),749.0)</f>
        <v>749</v>
      </c>
      <c r="B750" s="6" t="str">
        <f>IFERROR(__xludf.DUMMYFUNCTION("""COMPUTED_VALUE"""),"Pengaruh Karakteristik Dewan Terhadap Financial Distress Pra Dan Pasca Covid-19 Dengan Manajemen Laba Sebagai Variabel Moderasi")</f>
        <v>Pengaruh Karakteristik Dewan Terhadap Financial Distress Pra Dan Pasca Covid-19 Dengan Manajemen Laba Sebagai Variabel Moderasi</v>
      </c>
      <c r="C750" s="7">
        <f>IFERROR(__xludf.DUMMYFUNCTION("""COMPUTED_VALUE"""),2024.0)</f>
        <v>2024</v>
      </c>
      <c r="D750" s="8" t="str">
        <f>IFERROR(__xludf.DUMMYFUNCTION("""COMPUTED_VALUE"""),"2023/2024")</f>
        <v>2023/2024</v>
      </c>
      <c r="E750" s="9">
        <f>IFERROR(__xludf.DUMMYFUNCTION("""COMPUTED_VALUE"""),45324.0)</f>
        <v>45324</v>
      </c>
      <c r="F750" s="5" t="str">
        <f>IFERROR(__xludf.DUMMYFUNCTION("""COMPUTED_VALUE"""),"Ganjil")</f>
        <v>Ganjil</v>
      </c>
      <c r="G750" s="5" t="str">
        <f>IFERROR(__xludf.DUMMYFUNCTION("""COMPUTED_VALUE"""),"Akuntansi")</f>
        <v>Akuntansi</v>
      </c>
      <c r="H750" s="10" t="str">
        <f>IFERROR(__xludf.DUMMYFUNCTION("""COMPUTED_VALUE"""),"Mahasiswa")</f>
        <v>Mahasiswa</v>
      </c>
      <c r="I750" s="6" t="str">
        <f>IFERROR(__xludf.DUMMYFUNCTION("""COMPUTED_VALUE"""),"Aji Permana")</f>
        <v>Aji Permana</v>
      </c>
      <c r="J750" s="6" t="str">
        <f>IFERROR(__xludf.DUMMYFUNCTION("""COMPUTED_VALUE"""),"Era Trianita Saputra")</f>
        <v>Era Trianita Saputra</v>
      </c>
      <c r="K750" s="6"/>
      <c r="L750" s="6"/>
      <c r="M750" s="6"/>
      <c r="N750" s="6"/>
      <c r="O750" s="6"/>
      <c r="P750" s="10" t="str">
        <f>IFERROR(__xludf.DUMMYFUNCTION("""COMPUTED_VALUE"""),"Aji Permana, Era Trianita Saputra")</f>
        <v>Aji Permana, Era Trianita Saputra</v>
      </c>
      <c r="Q750" s="11" t="str">
        <f>IFERROR(__xludf.DUMMYFUNCTION("""COMPUTED_VALUE"""),"https://repository.stiesurakarta.ac.id/submission/94b20881-7e03-42e8-bfe9-de1bb19b7300")</f>
        <v>https://repository.stiesurakarta.ac.id/submission/94b20881-7e03-42e8-bfe9-de1bb19b7300</v>
      </c>
      <c r="R750" s="6"/>
    </row>
    <row r="751">
      <c r="A751" s="5">
        <f>IFERROR(__xludf.DUMMYFUNCTION("""COMPUTED_VALUE"""),750.0)</f>
        <v>750</v>
      </c>
      <c r="B751" s="6" t="str">
        <f>IFERROR(__xludf.DUMMYFUNCTION("""COMPUTED_VALUE"""),"PELATIHAN MANAJEMEN DAN PENGELOLAAN KEUANGAN PADA YAYASAN IRMAS SUKOHARJO")</f>
        <v>PELATIHAN MANAJEMEN DAN PENGELOLAAN KEUANGAN PADA YAYASAN IRMAS SUKOHARJO</v>
      </c>
      <c r="C751" s="7">
        <f>IFERROR(__xludf.DUMMYFUNCTION("""COMPUTED_VALUE"""),2024.0)</f>
        <v>2024</v>
      </c>
      <c r="D751" s="8" t="str">
        <f>IFERROR(__xludf.DUMMYFUNCTION("""COMPUTED_VALUE"""),"2023/2024")</f>
        <v>2023/2024</v>
      </c>
      <c r="E751" s="9">
        <f>IFERROR(__xludf.DUMMYFUNCTION("""COMPUTED_VALUE"""),45324.0)</f>
        <v>45324</v>
      </c>
      <c r="F751" s="5" t="str">
        <f>IFERROR(__xludf.DUMMYFUNCTION("""COMPUTED_VALUE"""),"Ganjil")</f>
        <v>Ganjil</v>
      </c>
      <c r="G751" s="5" t="str">
        <f>IFERROR(__xludf.DUMMYFUNCTION("""COMPUTED_VALUE"""),"Akuntansi")</f>
        <v>Akuntansi</v>
      </c>
      <c r="H751" s="10" t="str">
        <f>IFERROR(__xludf.DUMMYFUNCTION("""COMPUTED_VALUE"""),"Dosen")</f>
        <v>Dosen</v>
      </c>
      <c r="I751" s="6" t="str">
        <f>IFERROR(__xludf.DUMMYFUNCTION("""COMPUTED_VALUE"""),"Eko Triyanto")</f>
        <v>Eko Triyanto</v>
      </c>
      <c r="J751" s="6" t="str">
        <f>IFERROR(__xludf.DUMMYFUNCTION("""COMPUTED_VALUE"""),"Heny Kurnianingsih")</f>
        <v>Heny Kurnianingsih</v>
      </c>
      <c r="K751" s="6" t="str">
        <f>IFERROR(__xludf.DUMMYFUNCTION("""COMPUTED_VALUE"""),"Andri Nurtantiono")</f>
        <v>Andri Nurtantiono</v>
      </c>
      <c r="L751" s="6" t="str">
        <f>IFERROR(__xludf.DUMMYFUNCTION("""COMPUTED_VALUE"""),"Christiawan Hendratmoko")</f>
        <v>Christiawan Hendratmoko</v>
      </c>
      <c r="M751" s="6"/>
      <c r="N751" s="6"/>
      <c r="O751" s="6"/>
      <c r="P751" s="10"/>
      <c r="Q751" s="11" t="str">
        <f>IFERROR(__xludf.DUMMYFUNCTION("""COMPUTED_VALUE"""),"https://bajangjournal.com/index.php/J-ABDI/article/view/7382/5742")</f>
        <v>https://bajangjournal.com/index.php/J-ABDI/article/view/7382/5742</v>
      </c>
      <c r="R751" s="6"/>
    </row>
    <row r="752">
      <c r="A752" s="5">
        <f>IFERROR(__xludf.DUMMYFUNCTION("""COMPUTED_VALUE"""),751.0)</f>
        <v>751</v>
      </c>
      <c r="B752" s="6" t="str">
        <f>IFERROR(__xludf.DUMMYFUNCTION("""COMPUTED_VALUE"""),"Faktor-Faktor Yang Mempengaruhi Manajemen Laba Pada Perusahaan Asuransi Yang Terdaftar Di Bursa Efek Indonesia")</f>
        <v>Faktor-Faktor Yang Mempengaruhi Manajemen Laba Pada Perusahaan Asuransi Yang Terdaftar Di Bursa Efek Indonesia</v>
      </c>
      <c r="C752" s="7">
        <f>IFERROR(__xludf.DUMMYFUNCTION("""COMPUTED_VALUE"""),2024.0)</f>
        <v>2024</v>
      </c>
      <c r="D752" s="8" t="str">
        <f>IFERROR(__xludf.DUMMYFUNCTION("""COMPUTED_VALUE"""),"2023/2024")</f>
        <v>2023/2024</v>
      </c>
      <c r="E752" s="9">
        <f>IFERROR(__xludf.DUMMYFUNCTION("""COMPUTED_VALUE"""),45329.0)</f>
        <v>45329</v>
      </c>
      <c r="F752" s="5" t="str">
        <f>IFERROR(__xludf.DUMMYFUNCTION("""COMPUTED_VALUE"""),"Ganjil")</f>
        <v>Ganjil</v>
      </c>
      <c r="G752" s="5" t="str">
        <f>IFERROR(__xludf.DUMMYFUNCTION("""COMPUTED_VALUE"""),"Akuntansi")</f>
        <v>Akuntansi</v>
      </c>
      <c r="H752" s="10" t="str">
        <f>IFERROR(__xludf.DUMMYFUNCTION("""COMPUTED_VALUE"""),"Mahasiswa")</f>
        <v>Mahasiswa</v>
      </c>
      <c r="I752" s="6" t="str">
        <f>IFERROR(__xludf.DUMMYFUNCTION("""COMPUTED_VALUE"""),"Dika Febriana")</f>
        <v>Dika Febriana</v>
      </c>
      <c r="J752" s="6" t="str">
        <f>IFERROR(__xludf.DUMMYFUNCTION("""COMPUTED_VALUE"""),"Astuning Saharsini")</f>
        <v>Astuning Saharsini</v>
      </c>
      <c r="K752" s="6"/>
      <c r="L752" s="6"/>
      <c r="M752" s="6"/>
      <c r="N752" s="6"/>
      <c r="O752" s="6"/>
      <c r="P752" s="10" t="str">
        <f>IFERROR(__xludf.DUMMYFUNCTION("""COMPUTED_VALUE"""),"Dika Febriana, Astuning Saharsini")</f>
        <v>Dika Febriana, Astuning Saharsini</v>
      </c>
      <c r="Q752" s="11" t="str">
        <f>IFERROR(__xludf.DUMMYFUNCTION("""COMPUTED_VALUE"""),"https://prin.or.id/index.php/cemerlang/article/view/2628")</f>
        <v>https://prin.or.id/index.php/cemerlang/article/view/2628</v>
      </c>
      <c r="R752" s="6"/>
    </row>
    <row r="753">
      <c r="A753" s="5">
        <f>IFERROR(__xludf.DUMMYFUNCTION("""COMPUTED_VALUE"""),752.0)</f>
        <v>752</v>
      </c>
      <c r="B753" s="6" t="str">
        <f>IFERROR(__xludf.DUMMYFUNCTION("""COMPUTED_VALUE"""),"Pengaruh Customer Review, Flash Sale Promotion Dan Live Streaming Terhadap Keputusan Pembelian Pada E-Commerce Shopee Di Surakarta")</f>
        <v>Pengaruh Customer Review, Flash Sale Promotion Dan Live Streaming Terhadap Keputusan Pembelian Pada E-Commerce Shopee Di Surakarta</v>
      </c>
      <c r="C753" s="7">
        <f>IFERROR(__xludf.DUMMYFUNCTION("""COMPUTED_VALUE"""),2024.0)</f>
        <v>2024</v>
      </c>
      <c r="D753" s="8" t="str">
        <f>IFERROR(__xludf.DUMMYFUNCTION("""COMPUTED_VALUE"""),"2023/2024")</f>
        <v>2023/2024</v>
      </c>
      <c r="E753" s="9">
        <f>IFERROR(__xludf.DUMMYFUNCTION("""COMPUTED_VALUE"""),45333.0)</f>
        <v>45333</v>
      </c>
      <c r="F753" s="5" t="str">
        <f>IFERROR(__xludf.DUMMYFUNCTION("""COMPUTED_VALUE"""),"Ganjil")</f>
        <v>Ganjil</v>
      </c>
      <c r="G753" s="5" t="str">
        <f>IFERROR(__xludf.DUMMYFUNCTION("""COMPUTED_VALUE"""),"Akuntansi")</f>
        <v>Akuntansi</v>
      </c>
      <c r="H753" s="10" t="str">
        <f>IFERROR(__xludf.DUMMYFUNCTION("""COMPUTED_VALUE"""),"Mahasiswa")</f>
        <v>Mahasiswa</v>
      </c>
      <c r="I753" s="6" t="str">
        <f>IFERROR(__xludf.DUMMYFUNCTION("""COMPUTED_VALUE"""),"Keke Ferary Anjani Fatmala")</f>
        <v>Keke Ferary Anjani Fatmala</v>
      </c>
      <c r="J753" s="6" t="str">
        <f>IFERROR(__xludf.DUMMYFUNCTION("""COMPUTED_VALUE"""),"Tri Ratna Pamikatsih")</f>
        <v>Tri Ratna Pamikatsih</v>
      </c>
      <c r="K753" s="6"/>
      <c r="L753" s="6"/>
      <c r="M753" s="6"/>
      <c r="N753" s="6"/>
      <c r="O753" s="6"/>
      <c r="P753" s="10" t="str">
        <f>IFERROR(__xludf.DUMMYFUNCTION("""COMPUTED_VALUE"""),"Keke Ferary Anjani Fatmala, Tri Ratna Pamikatsih")</f>
        <v>Keke Ferary Anjani Fatmala, Tri Ratna Pamikatsih</v>
      </c>
      <c r="Q753" s="11" t="str">
        <f>IFERROR(__xludf.DUMMYFUNCTION("""COMPUTED_VALUE"""),"https://journal.unimar-amni.ac.id/index.php/profit/article/view/1961")</f>
        <v>https://journal.unimar-amni.ac.id/index.php/profit/article/view/1961</v>
      </c>
      <c r="R753" s="6"/>
    </row>
    <row r="754">
      <c r="A754" s="5">
        <f>IFERROR(__xludf.DUMMYFUNCTION("""COMPUTED_VALUE"""),753.0)</f>
        <v>753</v>
      </c>
      <c r="B754" s="6" t="str">
        <f>IFERROR(__xludf.DUMMYFUNCTION("""COMPUTED_VALUE"""),"Determinan Kualitas Laporan Keuangan Badan Usaha Milik Desa Di Kabupaten Klaten")</f>
        <v>Determinan Kualitas Laporan Keuangan Badan Usaha Milik Desa Di Kabupaten Klaten</v>
      </c>
      <c r="C754" s="7">
        <f>IFERROR(__xludf.DUMMYFUNCTION("""COMPUTED_VALUE"""),2024.0)</f>
        <v>2024</v>
      </c>
      <c r="D754" s="8" t="str">
        <f>IFERROR(__xludf.DUMMYFUNCTION("""COMPUTED_VALUE"""),"2023/2024")</f>
        <v>2023/2024</v>
      </c>
      <c r="E754" s="9">
        <f>IFERROR(__xludf.DUMMYFUNCTION("""COMPUTED_VALUE"""),45334.0)</f>
        <v>45334</v>
      </c>
      <c r="F754" s="5" t="str">
        <f>IFERROR(__xludf.DUMMYFUNCTION("""COMPUTED_VALUE"""),"Ganjil")</f>
        <v>Ganjil</v>
      </c>
      <c r="G754" s="5" t="str">
        <f>IFERROR(__xludf.DUMMYFUNCTION("""COMPUTED_VALUE"""),"Akuntansi")</f>
        <v>Akuntansi</v>
      </c>
      <c r="H754" s="10" t="str">
        <f>IFERROR(__xludf.DUMMYFUNCTION("""COMPUTED_VALUE"""),"Mahasiswa")</f>
        <v>Mahasiswa</v>
      </c>
      <c r="I754" s="6" t="str">
        <f>IFERROR(__xludf.DUMMYFUNCTION("""COMPUTED_VALUE"""),"Wara Novita Ningtyas")</f>
        <v>Wara Novita Ningtyas</v>
      </c>
      <c r="J754" s="6" t="str">
        <f>IFERROR(__xludf.DUMMYFUNCTION("""COMPUTED_VALUE"""),"Astuning Saharsini")</f>
        <v>Astuning Saharsini</v>
      </c>
      <c r="K754" s="6"/>
      <c r="L754" s="6"/>
      <c r="M754" s="6"/>
      <c r="N754" s="6"/>
      <c r="O754" s="6"/>
      <c r="P754" s="10" t="str">
        <f>IFERROR(__xludf.DUMMYFUNCTION("""COMPUTED_VALUE"""),"Wara Novita Ningtyas, Astuning Saharsini")</f>
        <v>Wara Novita Ningtyas, Astuning Saharsini</v>
      </c>
      <c r="Q754" s="11" t="str">
        <f>IFERROR(__xludf.DUMMYFUNCTION("""COMPUTED_VALUE"""),"https://journal.staiypiqbaubau.ac.id/index.php/Mutiara/article/view/1098")</f>
        <v>https://journal.staiypiqbaubau.ac.id/index.php/Mutiara/article/view/1098</v>
      </c>
      <c r="R754" s="6"/>
    </row>
    <row r="755">
      <c r="A755" s="5">
        <f>IFERROR(__xludf.DUMMYFUNCTION("""COMPUTED_VALUE"""),754.0)</f>
        <v>754</v>
      </c>
      <c r="B755" s="6" t="str">
        <f>IFERROR(__xludf.DUMMYFUNCTION("""COMPUTED_VALUE"""),"PENGARUH KUALITAS PRODUK, HARGA, DAN KESADARAN MEREK TERHADAP KEPUTUSAN PEMBELIAN TOKO ONLINE (STUDI PADA ONLINE SHOP MAME AMALIA)")</f>
        <v>PENGARUH KUALITAS PRODUK, HARGA, DAN KESADARAN MEREK TERHADAP KEPUTUSAN PEMBELIAN TOKO ONLINE (STUDI PADA ONLINE SHOP MAME AMALIA)</v>
      </c>
      <c r="C755" s="7">
        <f>IFERROR(__xludf.DUMMYFUNCTION("""COMPUTED_VALUE"""),2024.0)</f>
        <v>2024</v>
      </c>
      <c r="D755" s="8" t="str">
        <f>IFERROR(__xludf.DUMMYFUNCTION("""COMPUTED_VALUE"""),"2023/2024")</f>
        <v>2023/2024</v>
      </c>
      <c r="E755" s="9">
        <f>IFERROR(__xludf.DUMMYFUNCTION("""COMPUTED_VALUE"""),45337.0)</f>
        <v>45337</v>
      </c>
      <c r="F755" s="5" t="str">
        <f>IFERROR(__xludf.DUMMYFUNCTION("""COMPUTED_VALUE"""),"Ganjil")</f>
        <v>Ganjil</v>
      </c>
      <c r="G755" s="5" t="str">
        <f>IFERROR(__xludf.DUMMYFUNCTION("""COMPUTED_VALUE"""),"Akuntansi")</f>
        <v>Akuntansi</v>
      </c>
      <c r="H755" s="10" t="str">
        <f>IFERROR(__xludf.DUMMYFUNCTION("""COMPUTED_VALUE"""),"Mahasiswa")</f>
        <v>Mahasiswa</v>
      </c>
      <c r="I755" s="6" t="str">
        <f>IFERROR(__xludf.DUMMYFUNCTION("""COMPUTED_VALUE"""),"Amalia Suci Hastuti")</f>
        <v>Amalia Suci Hastuti</v>
      </c>
      <c r="J755" s="6" t="str">
        <f>IFERROR(__xludf.DUMMYFUNCTION("""COMPUTED_VALUE"""),"Tri Ratna Pamikatsih")</f>
        <v>Tri Ratna Pamikatsih</v>
      </c>
      <c r="K755" s="6"/>
      <c r="L755" s="6"/>
      <c r="M755" s="6"/>
      <c r="N755" s="6"/>
      <c r="O755" s="6"/>
      <c r="P755" s="10" t="str">
        <f>IFERROR(__xludf.DUMMYFUNCTION("""COMPUTED_VALUE"""),"Amalia Suci Hastuti, Tri Ratna Pamikatsih")</f>
        <v>Amalia Suci Hastuti, Tri Ratna Pamikatsih</v>
      </c>
      <c r="Q755" s="11" t="str">
        <f>IFERROR(__xludf.DUMMYFUNCTION("""COMPUTED_VALUE"""),"https://repository.stiesurakarta.ac.id/submission/9f8aa4f5-7327-4070-af75-cb9cdaa47123")</f>
        <v>https://repository.stiesurakarta.ac.id/submission/9f8aa4f5-7327-4070-af75-cb9cdaa47123</v>
      </c>
      <c r="R755" s="6"/>
    </row>
    <row r="756">
      <c r="A756" s="5">
        <f>IFERROR(__xludf.DUMMYFUNCTION("""COMPUTED_VALUE"""),755.0)</f>
        <v>755</v>
      </c>
      <c r="B756" s="6" t="str">
        <f>IFERROR(__xludf.DUMMYFUNCTION("""COMPUTED_VALUE"""),"Pengaruh Gaya llidup, Harga, Desain Produk dan Store Ambience terhadap Keputusan Pembelian di Toko Pot dan Bunga AIfa PIus Pasar Nongko Surakarta")</f>
        <v>Pengaruh Gaya llidup, Harga, Desain Produk dan Store Ambience terhadap Keputusan Pembelian di Toko Pot dan Bunga AIfa PIus Pasar Nongko Surakarta</v>
      </c>
      <c r="C756" s="7">
        <f>IFERROR(__xludf.DUMMYFUNCTION("""COMPUTED_VALUE"""),2024.0)</f>
        <v>2024</v>
      </c>
      <c r="D756" s="8" t="str">
        <f>IFERROR(__xludf.DUMMYFUNCTION("""COMPUTED_VALUE"""),"2023/2024")</f>
        <v>2023/2024</v>
      </c>
      <c r="E756" s="9">
        <f>IFERROR(__xludf.DUMMYFUNCTION("""COMPUTED_VALUE"""),45337.0)</f>
        <v>45337</v>
      </c>
      <c r="F756" s="5" t="str">
        <f>IFERROR(__xludf.DUMMYFUNCTION("""COMPUTED_VALUE"""),"Ganjil")</f>
        <v>Ganjil</v>
      </c>
      <c r="G756" s="5" t="str">
        <f>IFERROR(__xludf.DUMMYFUNCTION("""COMPUTED_VALUE"""),"Manajemen")</f>
        <v>Manajemen</v>
      </c>
      <c r="H756" s="10" t="str">
        <f>IFERROR(__xludf.DUMMYFUNCTION("""COMPUTED_VALUE"""),"Mahasiswa")</f>
        <v>Mahasiswa</v>
      </c>
      <c r="I756" s="6" t="str">
        <f>IFERROR(__xludf.DUMMYFUNCTION("""COMPUTED_VALUE"""),"Bigwhan Kurniawan")</f>
        <v>Bigwhan Kurniawan</v>
      </c>
      <c r="J756" s="6" t="str">
        <f>IFERROR(__xludf.DUMMYFUNCTION("""COMPUTED_VALUE"""),"Aditya Liliyan")</f>
        <v>Aditya Liliyan</v>
      </c>
      <c r="K756" s="6"/>
      <c r="L756" s="6"/>
      <c r="M756" s="6"/>
      <c r="N756" s="6"/>
      <c r="O756" s="6"/>
      <c r="P756" s="10" t="str">
        <f>IFERROR(__xludf.DUMMYFUNCTION("""COMPUTED_VALUE"""),"Bigwhan Kurniawan, Aditya Liliyan")</f>
        <v>Bigwhan Kurniawan, Aditya Liliyan</v>
      </c>
      <c r="Q756" s="11" t="str">
        <f>IFERROR(__xludf.DUMMYFUNCTION("""COMPUTED_VALUE"""),"https://repository.stiesurakarta.ac.id/submission/f40ec0ac-520c-4336-95b3-381ee94c9031")</f>
        <v>https://repository.stiesurakarta.ac.id/submission/f40ec0ac-520c-4336-95b3-381ee94c9031</v>
      </c>
      <c r="R756" s="6"/>
    </row>
    <row r="757">
      <c r="A757" s="5">
        <f>IFERROR(__xludf.DUMMYFUNCTION("""COMPUTED_VALUE"""),756.0)</f>
        <v>756</v>
      </c>
      <c r="B757" s="6" t="str">
        <f>IFERROR(__xludf.DUMMYFUNCTION("""COMPUTED_VALUE"""),"Pengaruh Harga, Promosi, dan Kualitas Produk terhadap Keputusan Pembelian Sepatu Adidas pada Kalangan B6 Surakartans")</f>
        <v>Pengaruh Harga, Promosi, dan Kualitas Produk terhadap Keputusan Pembelian Sepatu Adidas pada Kalangan B6 Surakartans</v>
      </c>
      <c r="C757" s="7">
        <f>IFERROR(__xludf.DUMMYFUNCTION("""COMPUTED_VALUE"""),2024.0)</f>
        <v>2024</v>
      </c>
      <c r="D757" s="8" t="str">
        <f>IFERROR(__xludf.DUMMYFUNCTION("""COMPUTED_VALUE"""),"2023/2024")</f>
        <v>2023/2024</v>
      </c>
      <c r="E757" s="9">
        <f>IFERROR(__xludf.DUMMYFUNCTION("""COMPUTED_VALUE"""),45337.0)</f>
        <v>45337</v>
      </c>
      <c r="F757" s="5" t="str">
        <f>IFERROR(__xludf.DUMMYFUNCTION("""COMPUTED_VALUE"""),"Ganjil")</f>
        <v>Ganjil</v>
      </c>
      <c r="G757" s="5" t="str">
        <f>IFERROR(__xludf.DUMMYFUNCTION("""COMPUTED_VALUE"""),"Manajemen")</f>
        <v>Manajemen</v>
      </c>
      <c r="H757" s="10" t="str">
        <f>IFERROR(__xludf.DUMMYFUNCTION("""COMPUTED_VALUE"""),"Mahasiswa")</f>
        <v>Mahasiswa</v>
      </c>
      <c r="I757" s="6" t="str">
        <f>IFERROR(__xludf.DUMMYFUNCTION("""COMPUTED_VALUE"""),"Rizal Dwi Maulana")</f>
        <v>Rizal Dwi Maulana</v>
      </c>
      <c r="J757" s="6" t="str">
        <f>IFERROR(__xludf.DUMMYFUNCTION("""COMPUTED_VALUE"""),"Putri Maisara")</f>
        <v>Putri Maisara</v>
      </c>
      <c r="K757" s="6"/>
      <c r="L757" s="6"/>
      <c r="M757" s="6"/>
      <c r="N757" s="6"/>
      <c r="O757" s="6"/>
      <c r="P757" s="10" t="str">
        <f>IFERROR(__xludf.DUMMYFUNCTION("""COMPUTED_VALUE"""),"Rizal Dwi Maulana, Putri Maisara")</f>
        <v>Rizal Dwi Maulana, Putri Maisara</v>
      </c>
      <c r="Q757" s="11" t="str">
        <f>IFERROR(__xludf.DUMMYFUNCTION("""COMPUTED_VALUE"""),"https://repository.stiesurakarta.ac.id/submission/6ea62374-bff4-49c0-9d9d-7163209925b5")</f>
        <v>https://repository.stiesurakarta.ac.id/submission/6ea62374-bff4-49c0-9d9d-7163209925b5</v>
      </c>
      <c r="R757" s="6"/>
    </row>
    <row r="758">
      <c r="A758" s="5">
        <f>IFERROR(__xludf.DUMMYFUNCTION("""COMPUTED_VALUE"""),757.0)</f>
        <v>757</v>
      </c>
      <c r="B758" s="6" t="str">
        <f>IFERROR(__xludf.DUMMYFUNCTION("""COMPUTED_VALUE"""),"Pengaruh Cita Rasa, Harga, dan Lokasi terhadap Keputusan Pembelian Mie Gacoan pada Masyarakat Solo Raya")</f>
        <v>Pengaruh Cita Rasa, Harga, dan Lokasi terhadap Keputusan Pembelian Mie Gacoan pada Masyarakat Solo Raya</v>
      </c>
      <c r="C758" s="7">
        <f>IFERROR(__xludf.DUMMYFUNCTION("""COMPUTED_VALUE"""),2024.0)</f>
        <v>2024</v>
      </c>
      <c r="D758" s="8" t="str">
        <f>IFERROR(__xludf.DUMMYFUNCTION("""COMPUTED_VALUE"""),"2023/2024")</f>
        <v>2023/2024</v>
      </c>
      <c r="E758" s="9">
        <f>IFERROR(__xludf.DUMMYFUNCTION("""COMPUTED_VALUE"""),45343.0)</f>
        <v>45343</v>
      </c>
      <c r="F758" s="5" t="str">
        <f>IFERROR(__xludf.DUMMYFUNCTION("""COMPUTED_VALUE"""),"Ganjil")</f>
        <v>Ganjil</v>
      </c>
      <c r="G758" s="5" t="str">
        <f>IFERROR(__xludf.DUMMYFUNCTION("""COMPUTED_VALUE"""),"Manajemen")</f>
        <v>Manajemen</v>
      </c>
      <c r="H758" s="10" t="str">
        <f>IFERROR(__xludf.DUMMYFUNCTION("""COMPUTED_VALUE"""),"Mahasiswa")</f>
        <v>Mahasiswa</v>
      </c>
      <c r="I758" s="6" t="str">
        <f>IFERROR(__xludf.DUMMYFUNCTION("""COMPUTED_VALUE"""),"Novia Nelvisia Ferinda")</f>
        <v>Novia Nelvisia Ferinda</v>
      </c>
      <c r="J758" s="6" t="str">
        <f>IFERROR(__xludf.DUMMYFUNCTION("""COMPUTED_VALUE"""),"Putri Maisara")</f>
        <v>Putri Maisara</v>
      </c>
      <c r="K758" s="6"/>
      <c r="L758" s="6"/>
      <c r="M758" s="6"/>
      <c r="N758" s="6"/>
      <c r="O758" s="6"/>
      <c r="P758" s="10" t="str">
        <f>IFERROR(__xludf.DUMMYFUNCTION("""COMPUTED_VALUE"""),"Novia Nelvisia Ferinda, Putri Maisara")</f>
        <v>Novia Nelvisia Ferinda, Putri Maisara</v>
      </c>
      <c r="Q758" s="11" t="str">
        <f>IFERROR(__xludf.DUMMYFUNCTION("""COMPUTED_VALUE"""),"https://repository.stiesurakarta.ac.id/submission/8c2c1fe1-5ab3-4f8a-8dc7-519c5211d0db")</f>
        <v>https://repository.stiesurakarta.ac.id/submission/8c2c1fe1-5ab3-4f8a-8dc7-519c5211d0db</v>
      </c>
      <c r="R758" s="6"/>
    </row>
    <row r="759">
      <c r="A759" s="5">
        <f>IFERROR(__xludf.DUMMYFUNCTION("""COMPUTED_VALUE"""),758.0)</f>
        <v>758</v>
      </c>
      <c r="B759" s="6" t="str">
        <f>IFERROR(__xludf.DUMMYFUNCTION("""COMPUTED_VALUE"""),"Pengaruh E-promosi, Customer Experience, dan Variasi produk terhadap Keputusan Pembelian Sirup Marjan di Shopee")</f>
        <v>Pengaruh E-promosi, Customer Experience, dan Variasi produk terhadap Keputusan Pembelian Sirup Marjan di Shopee</v>
      </c>
      <c r="C759" s="7">
        <f>IFERROR(__xludf.DUMMYFUNCTION("""COMPUTED_VALUE"""),2024.0)</f>
        <v>2024</v>
      </c>
      <c r="D759" s="8" t="str">
        <f>IFERROR(__xludf.DUMMYFUNCTION("""COMPUTED_VALUE"""),"2023/2024")</f>
        <v>2023/2024</v>
      </c>
      <c r="E759" s="9">
        <f>IFERROR(__xludf.DUMMYFUNCTION("""COMPUTED_VALUE"""),45344.0)</f>
        <v>45344</v>
      </c>
      <c r="F759" s="5" t="str">
        <f>IFERROR(__xludf.DUMMYFUNCTION("""COMPUTED_VALUE"""),"Ganjil")</f>
        <v>Ganjil</v>
      </c>
      <c r="G759" s="5" t="str">
        <f>IFERROR(__xludf.DUMMYFUNCTION("""COMPUTED_VALUE"""),"Manajemen")</f>
        <v>Manajemen</v>
      </c>
      <c r="H759" s="10" t="str">
        <f>IFERROR(__xludf.DUMMYFUNCTION("""COMPUTED_VALUE"""),"Mahasiswa")</f>
        <v>Mahasiswa</v>
      </c>
      <c r="I759" s="6" t="str">
        <f>IFERROR(__xludf.DUMMYFUNCTION("""COMPUTED_VALUE"""),"Dela Tri Kurniawati")</f>
        <v>Dela Tri Kurniawati</v>
      </c>
      <c r="J759" s="6" t="str">
        <f>IFERROR(__xludf.DUMMYFUNCTION("""COMPUTED_VALUE"""),"Aditya Liliyan")</f>
        <v>Aditya Liliyan</v>
      </c>
      <c r="K759" s="6"/>
      <c r="L759" s="6"/>
      <c r="M759" s="6"/>
      <c r="N759" s="6"/>
      <c r="O759" s="6"/>
      <c r="P759" s="10" t="str">
        <f>IFERROR(__xludf.DUMMYFUNCTION("""COMPUTED_VALUE"""),"Dela Tri Kurniawati, Aditya Liliyan")</f>
        <v>Dela Tri Kurniawati, Aditya Liliyan</v>
      </c>
      <c r="Q759" s="11" t="str">
        <f>IFERROR(__xludf.DUMMYFUNCTION("""COMPUTED_VALUE"""),"https://repository.stiesurakarta.ac.id/submission/7a90f491-b830-41ef-bc01-3657f210f430")</f>
        <v>https://repository.stiesurakarta.ac.id/submission/7a90f491-b830-41ef-bc01-3657f210f430</v>
      </c>
      <c r="R759" s="6"/>
    </row>
    <row r="760">
      <c r="A760" s="5">
        <f>IFERROR(__xludf.DUMMYFUNCTION("""COMPUTED_VALUE"""),759.0)</f>
        <v>759</v>
      </c>
      <c r="B760" s="6" t="str">
        <f>IFERROR(__xludf.DUMMYFUNCTION("""COMPUTED_VALUE"""),"Analisis Faktor-faktor yang Menyebabkan Terjadinya Pengangguran pada Masyarakat Desa Mayang")</f>
        <v>Analisis Faktor-faktor yang Menyebabkan Terjadinya Pengangguran pada Masyarakat Desa Mayang</v>
      </c>
      <c r="C760" s="7">
        <f>IFERROR(__xludf.DUMMYFUNCTION("""COMPUTED_VALUE"""),2024.0)</f>
        <v>2024</v>
      </c>
      <c r="D760" s="8" t="str">
        <f>IFERROR(__xludf.DUMMYFUNCTION("""COMPUTED_VALUE"""),"2023/2024")</f>
        <v>2023/2024</v>
      </c>
      <c r="E760" s="9">
        <f>IFERROR(__xludf.DUMMYFUNCTION("""COMPUTED_VALUE"""),45344.0)</f>
        <v>45344</v>
      </c>
      <c r="F760" s="5" t="str">
        <f>IFERROR(__xludf.DUMMYFUNCTION("""COMPUTED_VALUE"""),"Ganjil")</f>
        <v>Ganjil</v>
      </c>
      <c r="G760" s="5" t="str">
        <f>IFERROR(__xludf.DUMMYFUNCTION("""COMPUTED_VALUE"""),"Manajemen")</f>
        <v>Manajemen</v>
      </c>
      <c r="H760" s="10" t="str">
        <f>IFERROR(__xludf.DUMMYFUNCTION("""COMPUTED_VALUE"""),"Mahasiswa")</f>
        <v>Mahasiswa</v>
      </c>
      <c r="I760" s="6" t="str">
        <f>IFERROR(__xludf.DUMMYFUNCTION("""COMPUTED_VALUE"""),"Febriyanto Adi Saputro")</f>
        <v>Febriyanto Adi Saputro</v>
      </c>
      <c r="J760" s="6" t="str">
        <f>IFERROR(__xludf.DUMMYFUNCTION("""COMPUTED_VALUE"""),"Putri Maisara")</f>
        <v>Putri Maisara</v>
      </c>
      <c r="K760" s="6"/>
      <c r="L760" s="6"/>
      <c r="M760" s="6"/>
      <c r="N760" s="6"/>
      <c r="O760" s="6"/>
      <c r="P760" s="10" t="str">
        <f>IFERROR(__xludf.DUMMYFUNCTION("""COMPUTED_VALUE"""),"Febriyanto Adi Saputro, Putri Maisara")</f>
        <v>Febriyanto Adi Saputro, Putri Maisara</v>
      </c>
      <c r="Q760" s="11" t="str">
        <f>IFERROR(__xludf.DUMMYFUNCTION("""COMPUTED_VALUE"""),"https://repository.stiesurakarta.ac.id/submission/3eaed161-8143-44da-b491-4291cc73f8fe")</f>
        <v>https://repository.stiesurakarta.ac.id/submission/3eaed161-8143-44da-b491-4291cc73f8fe</v>
      </c>
      <c r="R760" s="6"/>
    </row>
    <row r="761">
      <c r="A761" s="5">
        <f>IFERROR(__xludf.DUMMYFUNCTION("""COMPUTED_VALUE"""),760.0)</f>
        <v>760</v>
      </c>
      <c r="B761" s="6" t="str">
        <f>IFERROR(__xludf.DUMMYFUNCTION("""COMPUTED_VALUE"""),"Pengaruh Live Streaming, Time Limit Marketing, dan Potongan Harga terhadap Impulsive Buying pada Mahasiswa Solo Raya di Platform Shopee")</f>
        <v>Pengaruh Live Streaming, Time Limit Marketing, dan Potongan Harga terhadap Impulsive Buying pada Mahasiswa Solo Raya di Platform Shopee</v>
      </c>
      <c r="C761" s="7">
        <f>IFERROR(__xludf.DUMMYFUNCTION("""COMPUTED_VALUE"""),2024.0)</f>
        <v>2024</v>
      </c>
      <c r="D761" s="8" t="str">
        <f>IFERROR(__xludf.DUMMYFUNCTION("""COMPUTED_VALUE"""),"2023/2024")</f>
        <v>2023/2024</v>
      </c>
      <c r="E761" s="9">
        <f>IFERROR(__xludf.DUMMYFUNCTION("""COMPUTED_VALUE"""),45344.0)</f>
        <v>45344</v>
      </c>
      <c r="F761" s="5" t="str">
        <f>IFERROR(__xludf.DUMMYFUNCTION("""COMPUTED_VALUE"""),"Ganjil")</f>
        <v>Ganjil</v>
      </c>
      <c r="G761" s="5" t="str">
        <f>IFERROR(__xludf.DUMMYFUNCTION("""COMPUTED_VALUE"""),"Manajemen")</f>
        <v>Manajemen</v>
      </c>
      <c r="H761" s="10" t="str">
        <f>IFERROR(__xludf.DUMMYFUNCTION("""COMPUTED_VALUE"""),"Mahasiswa")</f>
        <v>Mahasiswa</v>
      </c>
      <c r="I761" s="6" t="str">
        <f>IFERROR(__xludf.DUMMYFUNCTION("""COMPUTED_VALUE"""),"Nur Dwi Wijayanti")</f>
        <v>Nur Dwi Wijayanti</v>
      </c>
      <c r="J761" s="6" t="str">
        <f>IFERROR(__xludf.DUMMYFUNCTION("""COMPUTED_VALUE"""),"Atik Lusia")</f>
        <v>Atik Lusia</v>
      </c>
      <c r="K761" s="6"/>
      <c r="L761" s="6"/>
      <c r="M761" s="6"/>
      <c r="N761" s="6"/>
      <c r="O761" s="6"/>
      <c r="P761" s="10" t="str">
        <f>IFERROR(__xludf.DUMMYFUNCTION("""COMPUTED_VALUE"""),"Nur Dwi Wijayanti, Atik Lusia")</f>
        <v>Nur Dwi Wijayanti, Atik Lusia</v>
      </c>
      <c r="Q761" s="11" t="str">
        <f>IFERROR(__xludf.DUMMYFUNCTION("""COMPUTED_VALUE"""),"https://repository.stiesurakarta.ac.id/submission/58a9cfbb-ebfa-45b7-a8f4-785c62c265c0")</f>
        <v>https://repository.stiesurakarta.ac.id/submission/58a9cfbb-ebfa-45b7-a8f4-785c62c265c0</v>
      </c>
      <c r="R761" s="6"/>
    </row>
    <row r="762">
      <c r="A762" s="5">
        <f>IFERROR(__xludf.DUMMYFUNCTION("""COMPUTED_VALUE"""),761.0)</f>
        <v>761</v>
      </c>
      <c r="B762" s="6" t="str">
        <f>IFERROR(__xludf.DUMMYFUNCTION("""COMPUTED_VALUE"""),"Pengaruh Kualitas Produk, Harga dan Kualitas Pelayanan terhadap Kepuasan Pelanggan CV.Mahanaim Global Technology Solo")</f>
        <v>Pengaruh Kualitas Produk, Harga dan Kualitas Pelayanan terhadap Kepuasan Pelanggan CV.Mahanaim Global Technology Solo</v>
      </c>
      <c r="C762" s="7">
        <f>IFERROR(__xludf.DUMMYFUNCTION("""COMPUTED_VALUE"""),2024.0)</f>
        <v>2024</v>
      </c>
      <c r="D762" s="8" t="str">
        <f>IFERROR(__xludf.DUMMYFUNCTION("""COMPUTED_VALUE"""),"2023/2024")</f>
        <v>2023/2024</v>
      </c>
      <c r="E762" s="9">
        <f>IFERROR(__xludf.DUMMYFUNCTION("""COMPUTED_VALUE"""),45344.0)</f>
        <v>45344</v>
      </c>
      <c r="F762" s="5" t="str">
        <f>IFERROR(__xludf.DUMMYFUNCTION("""COMPUTED_VALUE"""),"Ganjil")</f>
        <v>Ganjil</v>
      </c>
      <c r="G762" s="5" t="str">
        <f>IFERROR(__xludf.DUMMYFUNCTION("""COMPUTED_VALUE"""),"Manajemen")</f>
        <v>Manajemen</v>
      </c>
      <c r="H762" s="10" t="str">
        <f>IFERROR(__xludf.DUMMYFUNCTION("""COMPUTED_VALUE"""),"Mahasiswa")</f>
        <v>Mahasiswa</v>
      </c>
      <c r="I762" s="6" t="str">
        <f>IFERROR(__xludf.DUMMYFUNCTION("""COMPUTED_VALUE"""),"Ima Agustina")</f>
        <v>Ima Agustina</v>
      </c>
      <c r="J762" s="6" t="str">
        <f>IFERROR(__xludf.DUMMYFUNCTION("""COMPUTED_VALUE"""),"Putri Maisara")</f>
        <v>Putri Maisara</v>
      </c>
      <c r="K762" s="6"/>
      <c r="L762" s="6"/>
      <c r="M762" s="6"/>
      <c r="N762" s="6"/>
      <c r="O762" s="6"/>
      <c r="P762" s="10" t="str">
        <f>IFERROR(__xludf.DUMMYFUNCTION("""COMPUTED_VALUE"""),"Ima Agustina, Putri Maisara")</f>
        <v>Ima Agustina, Putri Maisara</v>
      </c>
      <c r="Q762" s="11" t="str">
        <f>IFERROR(__xludf.DUMMYFUNCTION("""COMPUTED_VALUE"""),"https://repository.stiesurakarta.ac.id/submission/6e1ef12f-708b-4df8-8b8d-befcfbb08c9f")</f>
        <v>https://repository.stiesurakarta.ac.id/submission/6e1ef12f-708b-4df8-8b8d-befcfbb08c9f</v>
      </c>
      <c r="R762" s="6"/>
    </row>
    <row r="763">
      <c r="A763" s="5">
        <f>IFERROR(__xludf.DUMMYFUNCTION("""COMPUTED_VALUE"""),762.0)</f>
        <v>762</v>
      </c>
      <c r="B763" s="6" t="str">
        <f>IFERROR(__xludf.DUMMYFUNCTION("""COMPUTED_VALUE"""),"Pengaruh Kualitas Produk, Brand Image, Design Produk Terhadap Keputusan Pembelian Produk Sepatu Ventela")</f>
        <v>Pengaruh Kualitas Produk, Brand Image, Design Produk Terhadap Keputusan Pembelian Produk Sepatu Ventela</v>
      </c>
      <c r="C763" s="7">
        <f>IFERROR(__xludf.DUMMYFUNCTION("""COMPUTED_VALUE"""),2024.0)</f>
        <v>2024</v>
      </c>
      <c r="D763" s="8" t="str">
        <f>IFERROR(__xludf.DUMMYFUNCTION("""COMPUTED_VALUE"""),"2023/2024")</f>
        <v>2023/2024</v>
      </c>
      <c r="E763" s="9">
        <f>IFERROR(__xludf.DUMMYFUNCTION("""COMPUTED_VALUE"""),45344.0)</f>
        <v>45344</v>
      </c>
      <c r="F763" s="5" t="str">
        <f>IFERROR(__xludf.DUMMYFUNCTION("""COMPUTED_VALUE"""),"Ganjil")</f>
        <v>Ganjil</v>
      </c>
      <c r="G763" s="5" t="str">
        <f>IFERROR(__xludf.DUMMYFUNCTION("""COMPUTED_VALUE"""),"Manajemen")</f>
        <v>Manajemen</v>
      </c>
      <c r="H763" s="10" t="str">
        <f>IFERROR(__xludf.DUMMYFUNCTION("""COMPUTED_VALUE"""),"Mahasiswa")</f>
        <v>Mahasiswa</v>
      </c>
      <c r="I763" s="6" t="str">
        <f>IFERROR(__xludf.DUMMYFUNCTION("""COMPUTED_VALUE"""),"Denisya Nadita Rista")</f>
        <v>Denisya Nadita Rista</v>
      </c>
      <c r="J763" s="6" t="str">
        <f>IFERROR(__xludf.DUMMYFUNCTION("""COMPUTED_VALUE"""),"Budi Istiyanto")</f>
        <v>Budi Istiyanto</v>
      </c>
      <c r="K763" s="6"/>
      <c r="L763" s="6"/>
      <c r="M763" s="6"/>
      <c r="N763" s="6"/>
      <c r="O763" s="6"/>
      <c r="P763" s="10" t="str">
        <f>IFERROR(__xludf.DUMMYFUNCTION("""COMPUTED_VALUE"""),"Denisya Nadita Rista, Budi Istiyanto")</f>
        <v>Denisya Nadita Rista, Budi Istiyanto</v>
      </c>
      <c r="Q763" s="11" t="str">
        <f>IFERROR(__xludf.DUMMYFUNCTION("""COMPUTED_VALUE"""),"https://repository.stiesurakarta.ac.id/submission/4f46d9ff-3c81-4d2c-bc5b-3b90155fec27")</f>
        <v>https://repository.stiesurakarta.ac.id/submission/4f46d9ff-3c81-4d2c-bc5b-3b90155fec27</v>
      </c>
      <c r="R763" s="6"/>
    </row>
    <row r="764">
      <c r="A764" s="5">
        <f>IFERROR(__xludf.DUMMYFUNCTION("""COMPUTED_VALUE"""),763.0)</f>
        <v>763</v>
      </c>
      <c r="B764" s="6" t="str">
        <f>IFERROR(__xludf.DUMMYFUNCTION("""COMPUTED_VALUE"""),"Pengaruh Pengetahuan Pajak, Sanksi Pajak, dan Tingkat Penghasilan Wajib Pajak terhadap Kepatuhan Wajib Pajak dalam Membayar Pajak Kendaraan Bermotor")</f>
        <v>Pengaruh Pengetahuan Pajak, Sanksi Pajak, dan Tingkat Penghasilan Wajib Pajak terhadap Kepatuhan Wajib Pajak dalam Membayar Pajak Kendaraan Bermotor</v>
      </c>
      <c r="C764" s="7">
        <f>IFERROR(__xludf.DUMMYFUNCTION("""COMPUTED_VALUE"""),2024.0)</f>
        <v>2024</v>
      </c>
      <c r="D764" s="8" t="str">
        <f>IFERROR(__xludf.DUMMYFUNCTION("""COMPUTED_VALUE"""),"2023/2024")</f>
        <v>2023/2024</v>
      </c>
      <c r="E764" s="9">
        <f>IFERROR(__xludf.DUMMYFUNCTION("""COMPUTED_VALUE"""),45344.0)</f>
        <v>45344</v>
      </c>
      <c r="F764" s="5" t="str">
        <f>IFERROR(__xludf.DUMMYFUNCTION("""COMPUTED_VALUE"""),"Ganjil")</f>
        <v>Ganjil</v>
      </c>
      <c r="G764" s="5" t="str">
        <f>IFERROR(__xludf.DUMMYFUNCTION("""COMPUTED_VALUE"""),"Akuntansi")</f>
        <v>Akuntansi</v>
      </c>
      <c r="H764" s="10" t="str">
        <f>IFERROR(__xludf.DUMMYFUNCTION("""COMPUTED_VALUE"""),"Mahasiswa")</f>
        <v>Mahasiswa</v>
      </c>
      <c r="I764" s="6" t="str">
        <f>IFERROR(__xludf.DUMMYFUNCTION("""COMPUTED_VALUE"""),"Okta Ekaviana")</f>
        <v>Okta Ekaviana</v>
      </c>
      <c r="J764" s="6" t="str">
        <f>IFERROR(__xludf.DUMMYFUNCTION("""COMPUTED_VALUE"""),"Nur Kholis")</f>
        <v>Nur Kholis</v>
      </c>
      <c r="K764" s="6"/>
      <c r="L764" s="6"/>
      <c r="M764" s="6"/>
      <c r="N764" s="6"/>
      <c r="O764" s="6"/>
      <c r="P764" s="10" t="str">
        <f>IFERROR(__xludf.DUMMYFUNCTION("""COMPUTED_VALUE"""),"Okta Ekaviana, Nur Kholis")</f>
        <v>Okta Ekaviana, Nur Kholis</v>
      </c>
      <c r="Q764" s="11" t="str">
        <f>IFERROR(__xludf.DUMMYFUNCTION("""COMPUTED_VALUE"""),"https://repository.stiesurakarta.ac.id/submission/2b14b846-fb72-4d59-9ded-5fc18275eea9")</f>
        <v>https://repository.stiesurakarta.ac.id/submission/2b14b846-fb72-4d59-9ded-5fc18275eea9</v>
      </c>
      <c r="R764" s="6"/>
    </row>
    <row r="765">
      <c r="A765" s="5">
        <f>IFERROR(__xludf.DUMMYFUNCTION("""COMPUTED_VALUE"""),764.0)</f>
        <v>764</v>
      </c>
      <c r="B765" s="6" t="str">
        <f>IFERROR(__xludf.DUMMYFUNCTION("""COMPUTED_VALUE"""),"Pengaruh Gaya Kepemimpinan, Komunikasi, Lingkungan Kerja dan Gaji terhadap Kinerja Karyawan pada PT. Solo Murni di Boyolali")</f>
        <v>Pengaruh Gaya Kepemimpinan, Komunikasi, Lingkungan Kerja dan Gaji terhadap Kinerja Karyawan pada PT. Solo Murni di Boyolali</v>
      </c>
      <c r="C765" s="7">
        <f>IFERROR(__xludf.DUMMYFUNCTION("""COMPUTED_VALUE"""),2024.0)</f>
        <v>2024</v>
      </c>
      <c r="D765" s="8" t="str">
        <f>IFERROR(__xludf.DUMMYFUNCTION("""COMPUTED_VALUE"""),"2023/2024")</f>
        <v>2023/2024</v>
      </c>
      <c r="E765" s="9">
        <f>IFERROR(__xludf.DUMMYFUNCTION("""COMPUTED_VALUE"""),45345.0)</f>
        <v>45345</v>
      </c>
      <c r="F765" s="5" t="str">
        <f>IFERROR(__xludf.DUMMYFUNCTION("""COMPUTED_VALUE"""),"Ganjil")</f>
        <v>Ganjil</v>
      </c>
      <c r="G765" s="5" t="str">
        <f>IFERROR(__xludf.DUMMYFUNCTION("""COMPUTED_VALUE"""),"Manajemen")</f>
        <v>Manajemen</v>
      </c>
      <c r="H765" s="10" t="str">
        <f>IFERROR(__xludf.DUMMYFUNCTION("""COMPUTED_VALUE"""),"Mahasiswa")</f>
        <v>Mahasiswa</v>
      </c>
      <c r="I765" s="6" t="str">
        <f>IFERROR(__xludf.DUMMYFUNCTION("""COMPUTED_VALUE"""),"Endah Yuni Astuti")</f>
        <v>Endah Yuni Astuti</v>
      </c>
      <c r="J765" s="6" t="str">
        <f>IFERROR(__xludf.DUMMYFUNCTION("""COMPUTED_VALUE"""),"Christiawan Hendratmoko")</f>
        <v>Christiawan Hendratmoko</v>
      </c>
      <c r="K765" s="6"/>
      <c r="L765" s="6"/>
      <c r="M765" s="6"/>
      <c r="N765" s="6"/>
      <c r="O765" s="6"/>
      <c r="P765" s="10" t="str">
        <f>IFERROR(__xludf.DUMMYFUNCTION("""COMPUTED_VALUE"""),"Endah Yuni Astuti, Christiawan Hendratmoko")</f>
        <v>Endah Yuni Astuti, Christiawan Hendratmoko</v>
      </c>
      <c r="Q765" s="11" t="str">
        <f>IFERROR(__xludf.DUMMYFUNCTION("""COMPUTED_VALUE"""),"https://repository.stiesurakarta.ac.id/submission/6aed5fa8-c1fa-4bdc-a130-1fd23a2a7158")</f>
        <v>https://repository.stiesurakarta.ac.id/submission/6aed5fa8-c1fa-4bdc-a130-1fd23a2a7158</v>
      </c>
      <c r="R765" s="6"/>
    </row>
    <row r="766">
      <c r="A766" s="5">
        <f>IFERROR(__xludf.DUMMYFUNCTION("""COMPUTED_VALUE"""),765.0)</f>
        <v>765</v>
      </c>
      <c r="B766" s="6" t="str">
        <f>IFERROR(__xludf.DUMMYFUNCTION("""COMPUTED_VALUE"""),"Pengaruh Word Of Mouth, Social Media, dan Store Atmosphere terhadap Keputusan Pembelian di Deira Coffee &amp; Space")</f>
        <v>Pengaruh Word Of Mouth, Social Media, dan Store Atmosphere terhadap Keputusan Pembelian di Deira Coffee &amp; Space</v>
      </c>
      <c r="C766" s="7">
        <f>IFERROR(__xludf.DUMMYFUNCTION("""COMPUTED_VALUE"""),2024.0)</f>
        <v>2024</v>
      </c>
      <c r="D766" s="8" t="str">
        <f>IFERROR(__xludf.DUMMYFUNCTION("""COMPUTED_VALUE"""),"2023/2024")</f>
        <v>2023/2024</v>
      </c>
      <c r="E766" s="9">
        <f>IFERROR(__xludf.DUMMYFUNCTION("""COMPUTED_VALUE"""),45345.0)</f>
        <v>45345</v>
      </c>
      <c r="F766" s="5" t="str">
        <f>IFERROR(__xludf.DUMMYFUNCTION("""COMPUTED_VALUE"""),"Ganjil")</f>
        <v>Ganjil</v>
      </c>
      <c r="G766" s="5" t="str">
        <f>IFERROR(__xludf.DUMMYFUNCTION("""COMPUTED_VALUE"""),"Manajemen")</f>
        <v>Manajemen</v>
      </c>
      <c r="H766" s="10" t="str">
        <f>IFERROR(__xludf.DUMMYFUNCTION("""COMPUTED_VALUE"""),"Mahasiswa")</f>
        <v>Mahasiswa</v>
      </c>
      <c r="I766" s="6" t="str">
        <f>IFERROR(__xludf.DUMMYFUNCTION("""COMPUTED_VALUE"""),"Hasna’ Muthi’ah")</f>
        <v>Hasna’ Muthi’ah</v>
      </c>
      <c r="J766" s="6" t="str">
        <f>IFERROR(__xludf.DUMMYFUNCTION("""COMPUTED_VALUE"""),"Atik Lusia")</f>
        <v>Atik Lusia</v>
      </c>
      <c r="K766" s="6"/>
      <c r="L766" s="6"/>
      <c r="M766" s="6"/>
      <c r="N766" s="6"/>
      <c r="O766" s="6"/>
      <c r="P766" s="10" t="str">
        <f>IFERROR(__xludf.DUMMYFUNCTION("""COMPUTED_VALUE"""),"Hasna’ Muthi’ah, Atik Lusia")</f>
        <v>Hasna’ Muthi’ah, Atik Lusia</v>
      </c>
      <c r="Q766" s="11" t="str">
        <f>IFERROR(__xludf.DUMMYFUNCTION("""COMPUTED_VALUE"""),"https://repository.stiesurakarta.ac.id/submission/ba597f0f-4a74-4346-aebd-753bd76cb8c0")</f>
        <v>https://repository.stiesurakarta.ac.id/submission/ba597f0f-4a74-4346-aebd-753bd76cb8c0</v>
      </c>
      <c r="R766" s="6"/>
    </row>
    <row r="767">
      <c r="A767" s="5">
        <f>IFERROR(__xludf.DUMMYFUNCTION("""COMPUTED_VALUE"""),766.0)</f>
        <v>766</v>
      </c>
      <c r="B767" s="6" t="str">
        <f>IFERROR(__xludf.DUMMYFUNCTION("""COMPUTED_VALUE"""),"Analisis Faktor-Faktor yang Mempengaruhi Minat Investasi di Pasar Modal pada Mahasiswa Akuntansi STIE Surakarta")</f>
        <v>Analisis Faktor-Faktor yang Mempengaruhi Minat Investasi di Pasar Modal pada Mahasiswa Akuntansi STIE Surakarta</v>
      </c>
      <c r="C767" s="7">
        <f>IFERROR(__xludf.DUMMYFUNCTION("""COMPUTED_VALUE"""),2024.0)</f>
        <v>2024</v>
      </c>
      <c r="D767" s="8" t="str">
        <f>IFERROR(__xludf.DUMMYFUNCTION("""COMPUTED_VALUE"""),"2023/2024")</f>
        <v>2023/2024</v>
      </c>
      <c r="E767" s="9">
        <f>IFERROR(__xludf.DUMMYFUNCTION("""COMPUTED_VALUE"""),45345.0)</f>
        <v>45345</v>
      </c>
      <c r="F767" s="5" t="str">
        <f>IFERROR(__xludf.DUMMYFUNCTION("""COMPUTED_VALUE"""),"Ganjil")</f>
        <v>Ganjil</v>
      </c>
      <c r="G767" s="5" t="str">
        <f>IFERROR(__xludf.DUMMYFUNCTION("""COMPUTED_VALUE"""),"Akuntansi")</f>
        <v>Akuntansi</v>
      </c>
      <c r="H767" s="10" t="str">
        <f>IFERROR(__xludf.DUMMYFUNCTION("""COMPUTED_VALUE"""),"Mahasiswa")</f>
        <v>Mahasiswa</v>
      </c>
      <c r="I767" s="6" t="str">
        <f>IFERROR(__xludf.DUMMYFUNCTION("""COMPUTED_VALUE"""),"Dimas Yogi Trinanda")</f>
        <v>Dimas Yogi Trinanda</v>
      </c>
      <c r="J767" s="6" t="str">
        <f>IFERROR(__xludf.DUMMYFUNCTION("""COMPUTED_VALUE"""),"Era Trianita Saputra")</f>
        <v>Era Trianita Saputra</v>
      </c>
      <c r="K767" s="6"/>
      <c r="L767" s="6"/>
      <c r="M767" s="6"/>
      <c r="N767" s="6"/>
      <c r="O767" s="6"/>
      <c r="P767" s="10" t="str">
        <f>IFERROR(__xludf.DUMMYFUNCTION("""COMPUTED_VALUE"""),"Dimas Yogi Trinanda, Era Trianita Saputra")</f>
        <v>Dimas Yogi Trinanda, Era Trianita Saputra</v>
      </c>
      <c r="Q767" s="11" t="str">
        <f>IFERROR(__xludf.DUMMYFUNCTION("""COMPUTED_VALUE"""),"https://repository.stiesurakarta.ac.id/submission/49340423-2ab3-42c2-ac80-de1e8b2c5047")</f>
        <v>https://repository.stiesurakarta.ac.id/submission/49340423-2ab3-42c2-ac80-de1e8b2c5047</v>
      </c>
      <c r="R767" s="6"/>
    </row>
    <row r="768">
      <c r="A768" s="5">
        <f>IFERROR(__xludf.DUMMYFUNCTION("""COMPUTED_VALUE"""),767.0)</f>
        <v>767</v>
      </c>
      <c r="B768" s="6" t="str">
        <f>IFERROR(__xludf.DUMMYFUNCTION("""COMPUTED_VALUE"""),"BAGAIMANA DIGITAL MARKETING MEMPENGARUHI KEPUTUSAN PEMBELIAN PADA PENGGUNA TIKTOK SHOP")</f>
        <v>BAGAIMANA DIGITAL MARKETING MEMPENGARUHI KEPUTUSAN PEMBELIAN PADA PENGGUNA TIKTOK SHOP</v>
      </c>
      <c r="C768" s="7">
        <f>IFERROR(__xludf.DUMMYFUNCTION("""COMPUTED_VALUE"""),2024.0)</f>
        <v>2024</v>
      </c>
      <c r="D768" s="8" t="str">
        <f>IFERROR(__xludf.DUMMYFUNCTION("""COMPUTED_VALUE"""),"2023/2024")</f>
        <v>2023/2024</v>
      </c>
      <c r="E768" s="9">
        <f>IFERROR(__xludf.DUMMYFUNCTION("""COMPUTED_VALUE"""),45348.0)</f>
        <v>45348</v>
      </c>
      <c r="F768" s="5" t="str">
        <f>IFERROR(__xludf.DUMMYFUNCTION("""COMPUTED_VALUE"""),"Ganjil")</f>
        <v>Ganjil</v>
      </c>
      <c r="G768" s="5" t="str">
        <f>IFERROR(__xludf.DUMMYFUNCTION("""COMPUTED_VALUE"""),"Akuntansi")</f>
        <v>Akuntansi</v>
      </c>
      <c r="H768" s="10" t="str">
        <f>IFERROR(__xludf.DUMMYFUNCTION("""COMPUTED_VALUE"""),"Mahasiswa")</f>
        <v>Mahasiswa</v>
      </c>
      <c r="I768" s="6" t="str">
        <f>IFERROR(__xludf.DUMMYFUNCTION("""COMPUTED_VALUE"""),"Daffa Akbar Ramadhani")</f>
        <v>Daffa Akbar Ramadhani</v>
      </c>
      <c r="J768" s="6" t="str">
        <f>IFERROR(__xludf.DUMMYFUNCTION("""COMPUTED_VALUE"""),"Tri Ratna Pamikatsih")</f>
        <v>Tri Ratna Pamikatsih</v>
      </c>
      <c r="K768" s="6"/>
      <c r="L768" s="6"/>
      <c r="M768" s="6"/>
      <c r="N768" s="6"/>
      <c r="O768" s="6"/>
      <c r="P768" s="10" t="str">
        <f>IFERROR(__xludf.DUMMYFUNCTION("""COMPUTED_VALUE"""),"Daffa Akbar Ramadhani, Tri Ratna Pamikatsih")</f>
        <v>Daffa Akbar Ramadhani, Tri Ratna Pamikatsih</v>
      </c>
      <c r="Q768" s="11" t="str">
        <f>IFERROR(__xludf.DUMMYFUNCTION("""COMPUTED_VALUE"""),"https://proceedings.uhamka.ac.id/index.php/semnas/article/view/678/398")</f>
        <v>https://proceedings.uhamka.ac.id/index.php/semnas/article/view/678/398</v>
      </c>
      <c r="R768" s="6"/>
    </row>
    <row r="769">
      <c r="A769" s="5">
        <f>IFERROR(__xludf.DUMMYFUNCTION("""COMPUTED_VALUE"""),768.0)</f>
        <v>768</v>
      </c>
      <c r="B769" s="6" t="str">
        <f>IFERROR(__xludf.DUMMYFUNCTION("""COMPUTED_VALUE"""),"FAKTOR YANG MEMPENGARUHI MINAT BERKUNJUNG ULANG DI PANTAI KLAYAR (KEPUASAAN KONSUMEN SEBAGAI VARIABEL INTERVENING)")</f>
        <v>FAKTOR YANG MEMPENGARUHI MINAT BERKUNJUNG ULANG DI PANTAI KLAYAR (KEPUASAAN KONSUMEN SEBAGAI VARIABEL INTERVENING)</v>
      </c>
      <c r="C769" s="7">
        <f>IFERROR(__xludf.DUMMYFUNCTION("""COMPUTED_VALUE"""),2024.0)</f>
        <v>2024</v>
      </c>
      <c r="D769" s="8" t="str">
        <f>IFERROR(__xludf.DUMMYFUNCTION("""COMPUTED_VALUE"""),"2023/2024")</f>
        <v>2023/2024</v>
      </c>
      <c r="E769" s="9">
        <f>IFERROR(__xludf.DUMMYFUNCTION("""COMPUTED_VALUE"""),45348.0)</f>
        <v>45348</v>
      </c>
      <c r="F769" s="5" t="str">
        <f>IFERROR(__xludf.DUMMYFUNCTION("""COMPUTED_VALUE"""),"Ganjil")</f>
        <v>Ganjil</v>
      </c>
      <c r="G769" s="5" t="str">
        <f>IFERROR(__xludf.DUMMYFUNCTION("""COMPUTED_VALUE"""),"Akuntansi")</f>
        <v>Akuntansi</v>
      </c>
      <c r="H769" s="10" t="str">
        <f>IFERROR(__xludf.DUMMYFUNCTION("""COMPUTED_VALUE"""),"Mahasiswa")</f>
        <v>Mahasiswa</v>
      </c>
      <c r="I769" s="6" t="str">
        <f>IFERROR(__xludf.DUMMYFUNCTION("""COMPUTED_VALUE"""),"Devi Yulianti")</f>
        <v>Devi Yulianti</v>
      </c>
      <c r="J769" s="6" t="str">
        <f>IFERROR(__xludf.DUMMYFUNCTION("""COMPUTED_VALUE"""),"Tri Ratna Pamikatsih")</f>
        <v>Tri Ratna Pamikatsih</v>
      </c>
      <c r="K769" s="6"/>
      <c r="L769" s="6"/>
      <c r="M769" s="6"/>
      <c r="N769" s="6"/>
      <c r="O769" s="6"/>
      <c r="P769" s="10" t="str">
        <f>IFERROR(__xludf.DUMMYFUNCTION("""COMPUTED_VALUE"""),"Devi Yulianti, Tri Ratna Pamikatsih")</f>
        <v>Devi Yulianti, Tri Ratna Pamikatsih</v>
      </c>
      <c r="Q769" s="11" t="str">
        <f>IFERROR(__xludf.DUMMYFUNCTION("""COMPUTED_VALUE"""),"https://proceedings.uhamka.ac.id/index.php/semnas/article/view/694/412")</f>
        <v>https://proceedings.uhamka.ac.id/index.php/semnas/article/view/694/412</v>
      </c>
      <c r="R769" s="6"/>
    </row>
    <row r="770">
      <c r="A770" s="5">
        <f>IFERROR(__xludf.DUMMYFUNCTION("""COMPUTED_VALUE"""),769.0)</f>
        <v>769</v>
      </c>
      <c r="B770" s="6" t="str">
        <f>IFERROR(__xludf.DUMMYFUNCTION("""COMPUTED_VALUE"""),"Pengaruh Literasi Keuangan, Finansial Teknologi dan Lifestyle Hedonis terhadap Perilaku Keuangan Mahasiswa Surakarta")</f>
        <v>Pengaruh Literasi Keuangan, Finansial Teknologi dan Lifestyle Hedonis terhadap Perilaku Keuangan Mahasiswa Surakarta</v>
      </c>
      <c r="C770" s="7">
        <f>IFERROR(__xludf.DUMMYFUNCTION("""COMPUTED_VALUE"""),2024.0)</f>
        <v>2024</v>
      </c>
      <c r="D770" s="8" t="str">
        <f>IFERROR(__xludf.DUMMYFUNCTION("""COMPUTED_VALUE"""),"2023/2024")</f>
        <v>2023/2024</v>
      </c>
      <c r="E770" s="9">
        <f>IFERROR(__xludf.DUMMYFUNCTION("""COMPUTED_VALUE"""),45349.0)</f>
        <v>45349</v>
      </c>
      <c r="F770" s="5" t="str">
        <f>IFERROR(__xludf.DUMMYFUNCTION("""COMPUTED_VALUE"""),"Ganjil")</f>
        <v>Ganjil</v>
      </c>
      <c r="G770" s="5" t="str">
        <f>IFERROR(__xludf.DUMMYFUNCTION("""COMPUTED_VALUE"""),"Manajemen")</f>
        <v>Manajemen</v>
      </c>
      <c r="H770" s="10" t="str">
        <f>IFERROR(__xludf.DUMMYFUNCTION("""COMPUTED_VALUE"""),"Mahasiswa")</f>
        <v>Mahasiswa</v>
      </c>
      <c r="I770" s="6" t="str">
        <f>IFERROR(__xludf.DUMMYFUNCTION("""COMPUTED_VALUE"""),"Dina Lorenza")</f>
        <v>Dina Lorenza</v>
      </c>
      <c r="J770" s="6" t="str">
        <f>IFERROR(__xludf.DUMMYFUNCTION("""COMPUTED_VALUE"""),"Ari Susanti")</f>
        <v>Ari Susanti</v>
      </c>
      <c r="K770" s="6"/>
      <c r="L770" s="6"/>
      <c r="M770" s="6"/>
      <c r="N770" s="6"/>
      <c r="O770" s="6"/>
      <c r="P770" s="10" t="str">
        <f>IFERROR(__xludf.DUMMYFUNCTION("""COMPUTED_VALUE"""),"Dina Lorenza, Ari Susanti")</f>
        <v>Dina Lorenza, Ari Susanti</v>
      </c>
      <c r="Q770" s="11" t="str">
        <f>IFERROR(__xludf.DUMMYFUNCTION("""COMPUTED_VALUE"""),"https://repository.stiesurakarta.ac.id/submission/f7d96cc2-3330-4207-95e7-24ee4b981dd6")</f>
        <v>https://repository.stiesurakarta.ac.id/submission/f7d96cc2-3330-4207-95e7-24ee4b981dd6</v>
      </c>
      <c r="R770" s="6"/>
    </row>
    <row r="771">
      <c r="A771" s="5">
        <f>IFERROR(__xludf.DUMMYFUNCTION("""COMPUTED_VALUE"""),770.0)</f>
        <v>770</v>
      </c>
      <c r="B771" s="6" t="str">
        <f>IFERROR(__xludf.DUMMYFUNCTION("""COMPUTED_VALUE"""),"Pengaruh Celebrity Endorse, Live Streaming, dan Online Customer Review terhadap Keputusan Pembelian Fashion di Shopee (Studi Remaja di Solo Raya)")</f>
        <v>Pengaruh Celebrity Endorse, Live Streaming, dan Online Customer Review terhadap Keputusan Pembelian Fashion di Shopee (Studi Remaja di Solo Raya)</v>
      </c>
      <c r="C771" s="7">
        <f>IFERROR(__xludf.DUMMYFUNCTION("""COMPUTED_VALUE"""),2024.0)</f>
        <v>2024</v>
      </c>
      <c r="D771" s="8" t="str">
        <f>IFERROR(__xludf.DUMMYFUNCTION("""COMPUTED_VALUE"""),"2023/2024")</f>
        <v>2023/2024</v>
      </c>
      <c r="E771" s="9">
        <f>IFERROR(__xludf.DUMMYFUNCTION("""COMPUTED_VALUE"""),45350.0)</f>
        <v>45350</v>
      </c>
      <c r="F771" s="5" t="str">
        <f>IFERROR(__xludf.DUMMYFUNCTION("""COMPUTED_VALUE"""),"Ganjil")</f>
        <v>Ganjil</v>
      </c>
      <c r="G771" s="5" t="str">
        <f>IFERROR(__xludf.DUMMYFUNCTION("""COMPUTED_VALUE"""),"Manajemen")</f>
        <v>Manajemen</v>
      </c>
      <c r="H771" s="10" t="str">
        <f>IFERROR(__xludf.DUMMYFUNCTION("""COMPUTED_VALUE"""),"Mahasiswa")</f>
        <v>Mahasiswa</v>
      </c>
      <c r="I771" s="6" t="str">
        <f>IFERROR(__xludf.DUMMYFUNCTION("""COMPUTED_VALUE"""),"Aura Fadhila")</f>
        <v>Aura Fadhila</v>
      </c>
      <c r="J771" s="6" t="str">
        <f>IFERROR(__xludf.DUMMYFUNCTION("""COMPUTED_VALUE"""),"Andri Nurtantiono")</f>
        <v>Andri Nurtantiono</v>
      </c>
      <c r="K771" s="6"/>
      <c r="L771" s="6"/>
      <c r="M771" s="6"/>
      <c r="N771" s="6"/>
      <c r="O771" s="6"/>
      <c r="P771" s="10" t="str">
        <f>IFERROR(__xludf.DUMMYFUNCTION("""COMPUTED_VALUE"""),"Aura Fadhila, Andri Nurtantiono")</f>
        <v>Aura Fadhila, Andri Nurtantiono</v>
      </c>
      <c r="Q771" s="11" t="str">
        <f>IFERROR(__xludf.DUMMYFUNCTION("""COMPUTED_VALUE"""),"https://ejournal.unhi.ac.id/index.php/widyamanajemen/article/view/5046")</f>
        <v>https://ejournal.unhi.ac.id/index.php/widyamanajemen/article/view/5046</v>
      </c>
      <c r="R771" s="6"/>
    </row>
    <row r="772">
      <c r="A772" s="5">
        <f>IFERROR(__xludf.DUMMYFUNCTION("""COMPUTED_VALUE"""),771.0)</f>
        <v>771</v>
      </c>
      <c r="B772" s="6" t="str">
        <f>IFERROR(__xludf.DUMMYFUNCTION("""COMPUTED_VALUE"""),"Manajemen Keuangan")</f>
        <v>Manajemen Keuangan</v>
      </c>
      <c r="C772" s="7">
        <f>IFERROR(__xludf.DUMMYFUNCTION("""COMPUTED_VALUE"""),2024.0)</f>
        <v>2024</v>
      </c>
      <c r="D772" s="8" t="str">
        <f>IFERROR(__xludf.DUMMYFUNCTION("""COMPUTED_VALUE"""),"2023/2024")</f>
        <v>2023/2024</v>
      </c>
      <c r="E772" s="9">
        <f>IFERROR(__xludf.DUMMYFUNCTION("""COMPUTED_VALUE"""),45352.0)</f>
        <v>45352</v>
      </c>
      <c r="F772" s="5" t="str">
        <f>IFERROR(__xludf.DUMMYFUNCTION("""COMPUTED_VALUE"""),"Ganjil")</f>
        <v>Ganjil</v>
      </c>
      <c r="G772" s="5" t="str">
        <f>IFERROR(__xludf.DUMMYFUNCTION("""COMPUTED_VALUE"""),"Manajemen")</f>
        <v>Manajemen</v>
      </c>
      <c r="H772" s="10" t="str">
        <f>IFERROR(__xludf.DUMMYFUNCTION("""COMPUTED_VALUE"""),"Dosen")</f>
        <v>Dosen</v>
      </c>
      <c r="I772" s="6" t="str">
        <f>IFERROR(__xludf.DUMMYFUNCTION("""COMPUTED_VALUE"""),"Ari Susanti")</f>
        <v>Ari Susanti</v>
      </c>
      <c r="J772" s="6"/>
      <c r="K772" s="6"/>
      <c r="L772" s="6"/>
      <c r="M772" s="6"/>
      <c r="N772" s="6"/>
      <c r="O772" s="6"/>
      <c r="P772" s="10"/>
      <c r="Q772" s="11" t="str">
        <f>IFERROR(__xludf.DUMMYFUNCTION("""COMPUTED_VALUE"""),"https://drive.google.com/file/d/1pEAs-8w46IFeAoiRyFO2-nlPesdOQMpj/view?usp=drive_link")</f>
        <v>https://drive.google.com/file/d/1pEAs-8w46IFeAoiRyFO2-nlPesdOQMpj/view?usp=drive_link</v>
      </c>
      <c r="R772" s="6"/>
    </row>
    <row r="773">
      <c r="A773" s="5">
        <f>IFERROR(__xludf.DUMMYFUNCTION("""COMPUTED_VALUE"""),772.0)</f>
        <v>772</v>
      </c>
      <c r="B773" s="6" t="str">
        <f>IFERROR(__xludf.DUMMYFUNCTION("""COMPUTED_VALUE"""),"Analisis Faktor yang Mempengaruhi Kepuasan Kerja terhadap Motivasi Kerja. Studi Kasus pada PT. SSA.")</f>
        <v>Analisis Faktor yang Mempengaruhi Kepuasan Kerja terhadap Motivasi Kerja. Studi Kasus pada PT. SSA.</v>
      </c>
      <c r="C773" s="7">
        <f>IFERROR(__xludf.DUMMYFUNCTION("""COMPUTED_VALUE"""),2024.0)</f>
        <v>2024</v>
      </c>
      <c r="D773" s="8" t="str">
        <f>IFERROR(__xludf.DUMMYFUNCTION("""COMPUTED_VALUE"""),"2023/2024")</f>
        <v>2023/2024</v>
      </c>
      <c r="E773" s="9">
        <f>IFERROR(__xludf.DUMMYFUNCTION("""COMPUTED_VALUE"""),45356.0)</f>
        <v>45356</v>
      </c>
      <c r="F773" s="5" t="str">
        <f>IFERROR(__xludf.DUMMYFUNCTION("""COMPUTED_VALUE"""),"Genap")</f>
        <v>Genap</v>
      </c>
      <c r="G773" s="5" t="str">
        <f>IFERROR(__xludf.DUMMYFUNCTION("""COMPUTED_VALUE"""),"Manajemen")</f>
        <v>Manajemen</v>
      </c>
      <c r="H773" s="10" t="str">
        <f>IFERROR(__xludf.DUMMYFUNCTION("""COMPUTED_VALUE"""),"Mahasiswa")</f>
        <v>Mahasiswa</v>
      </c>
      <c r="I773" s="6" t="str">
        <f>IFERROR(__xludf.DUMMYFUNCTION("""COMPUTED_VALUE"""),"Rika Ayu Berlian")</f>
        <v>Rika Ayu Berlian</v>
      </c>
      <c r="J773" s="6" t="str">
        <f>IFERROR(__xludf.DUMMYFUNCTION("""COMPUTED_VALUE"""),"Putri Maisara")</f>
        <v>Putri Maisara</v>
      </c>
      <c r="K773" s="6"/>
      <c r="L773" s="6"/>
      <c r="M773" s="6"/>
      <c r="N773" s="6"/>
      <c r="O773" s="6"/>
      <c r="P773" s="10" t="str">
        <f>IFERROR(__xludf.DUMMYFUNCTION("""COMPUTED_VALUE"""),"Rika Ayu Berlian, Putri Maisara")</f>
        <v>Rika Ayu Berlian, Putri Maisara</v>
      </c>
      <c r="Q773" s="11" t="str">
        <f>IFERROR(__xludf.DUMMYFUNCTION("""COMPUTED_VALUE"""),"https://repository.stiesurakarta.ac.id/submission/6cdcffd0-9a46-4fe0-8ad8-a592e2dacf6c")</f>
        <v>https://repository.stiesurakarta.ac.id/submission/6cdcffd0-9a46-4fe0-8ad8-a592e2dacf6c</v>
      </c>
      <c r="R773" s="6"/>
    </row>
    <row r="774">
      <c r="A774" s="5">
        <f>IFERROR(__xludf.DUMMYFUNCTION("""COMPUTED_VALUE"""),773.0)</f>
        <v>773</v>
      </c>
      <c r="B774" s="6" t="str">
        <f>IFERROR(__xludf.DUMMYFUNCTION("""COMPUTED_VALUE"""),"Pengaruh Kualitas dan Desain Web Pelayanan Publik terhadap Minat dan Perhatian Masyarakat pada E-Government Kota Solo, Semarang dan Yogyakarta")</f>
        <v>Pengaruh Kualitas dan Desain Web Pelayanan Publik terhadap Minat dan Perhatian Masyarakat pada E-Government Kota Solo, Semarang dan Yogyakarta</v>
      </c>
      <c r="C774" s="7">
        <f>IFERROR(__xludf.DUMMYFUNCTION("""COMPUTED_VALUE"""),2024.0)</f>
        <v>2024</v>
      </c>
      <c r="D774" s="8" t="str">
        <f>IFERROR(__xludf.DUMMYFUNCTION("""COMPUTED_VALUE"""),"2023/2024")</f>
        <v>2023/2024</v>
      </c>
      <c r="E774" s="9">
        <f>IFERROR(__xludf.DUMMYFUNCTION("""COMPUTED_VALUE"""),45356.0)</f>
        <v>45356</v>
      </c>
      <c r="F774" s="5" t="str">
        <f>IFERROR(__xludf.DUMMYFUNCTION("""COMPUTED_VALUE"""),"Genap")</f>
        <v>Genap</v>
      </c>
      <c r="G774" s="5" t="str">
        <f>IFERROR(__xludf.DUMMYFUNCTION("""COMPUTED_VALUE"""),"Manajemen")</f>
        <v>Manajemen</v>
      </c>
      <c r="H774" s="10" t="str">
        <f>IFERROR(__xludf.DUMMYFUNCTION("""COMPUTED_VALUE"""),"Mahasiswa")</f>
        <v>Mahasiswa</v>
      </c>
      <c r="I774" s="6" t="str">
        <f>IFERROR(__xludf.DUMMYFUNCTION("""COMPUTED_VALUE"""),"Natasya Alvin Agustin")</f>
        <v>Natasya Alvin Agustin</v>
      </c>
      <c r="J774" s="6" t="str">
        <f>IFERROR(__xludf.DUMMYFUNCTION("""COMPUTED_VALUE"""),"Ginanjar Rahmawan")</f>
        <v>Ginanjar Rahmawan</v>
      </c>
      <c r="K774" s="6"/>
      <c r="L774" s="6"/>
      <c r="M774" s="6"/>
      <c r="N774" s="6"/>
      <c r="O774" s="6"/>
      <c r="P774" s="10" t="str">
        <f>IFERROR(__xludf.DUMMYFUNCTION("""COMPUTED_VALUE"""),"Natasya Alvin Agustin, Ginanjar Rahmawan")</f>
        <v>Natasya Alvin Agustin, Ginanjar Rahmawan</v>
      </c>
      <c r="Q774" s="11" t="str">
        <f>IFERROR(__xludf.DUMMYFUNCTION("""COMPUTED_VALUE"""),"https://repository.stiesurakarta.ac.id/submission/7fd9c8c2-7ab6-4111-b149-84c7104c9dad")</f>
        <v>https://repository.stiesurakarta.ac.id/submission/7fd9c8c2-7ab6-4111-b149-84c7104c9dad</v>
      </c>
      <c r="R774" s="6"/>
    </row>
    <row r="775">
      <c r="A775" s="5">
        <f>IFERROR(__xludf.DUMMYFUNCTION("""COMPUTED_VALUE"""),774.0)</f>
        <v>774</v>
      </c>
      <c r="B775" s="6" t="str">
        <f>IFERROR(__xludf.DUMMYFUNCTION("""COMPUTED_VALUE"""),"PENGARUH IMPLEMENTASI SIA, KOMPETENSI SDM, DAN TEKNOLOGI INFORMASI TERHADAP LAPORAN KEUANGAN BERBASIS SAK EMKM")</f>
        <v>PENGARUH IMPLEMENTASI SIA, KOMPETENSI SDM, DAN TEKNOLOGI INFORMASI TERHADAP LAPORAN KEUANGAN BERBASIS SAK EMKM</v>
      </c>
      <c r="C775" s="7">
        <f>IFERROR(__xludf.DUMMYFUNCTION("""COMPUTED_VALUE"""),2024.0)</f>
        <v>2024</v>
      </c>
      <c r="D775" s="8" t="str">
        <f>IFERROR(__xludf.DUMMYFUNCTION("""COMPUTED_VALUE"""),"2023/2024")</f>
        <v>2023/2024</v>
      </c>
      <c r="E775" s="9">
        <f>IFERROR(__xludf.DUMMYFUNCTION("""COMPUTED_VALUE"""),45356.0)</f>
        <v>45356</v>
      </c>
      <c r="F775" s="5" t="str">
        <f>IFERROR(__xludf.DUMMYFUNCTION("""COMPUTED_VALUE"""),"Genap")</f>
        <v>Genap</v>
      </c>
      <c r="G775" s="5" t="str">
        <f>IFERROR(__xludf.DUMMYFUNCTION("""COMPUTED_VALUE"""),"Akuntansi")</f>
        <v>Akuntansi</v>
      </c>
      <c r="H775" s="10" t="str">
        <f>IFERROR(__xludf.DUMMYFUNCTION("""COMPUTED_VALUE"""),"Mahasiswa")</f>
        <v>Mahasiswa</v>
      </c>
      <c r="I775" s="6" t="str">
        <f>IFERROR(__xludf.DUMMYFUNCTION("""COMPUTED_VALUE"""),"Dea Alverina Haryanto")</f>
        <v>Dea Alverina Haryanto</v>
      </c>
      <c r="J775" s="6" t="str">
        <f>IFERROR(__xludf.DUMMYFUNCTION("""COMPUTED_VALUE"""),"Eko Triyanto")</f>
        <v>Eko Triyanto</v>
      </c>
      <c r="K775" s="6"/>
      <c r="L775" s="6"/>
      <c r="M775" s="6"/>
      <c r="N775" s="6"/>
      <c r="O775" s="6"/>
      <c r="P775" s="10" t="str">
        <f>IFERROR(__xludf.DUMMYFUNCTION("""COMPUTED_VALUE"""),"Dea Alverina Haryanto, Eko Triyanto")</f>
        <v>Dea Alverina Haryanto, Eko Triyanto</v>
      </c>
      <c r="Q775" s="11" t="str">
        <f>IFERROR(__xludf.DUMMYFUNCTION("""COMPUTED_VALUE"""),"https://ejournal.nusantaraglobal.ac.id/index.php/sentri/article/view/2450")</f>
        <v>https://ejournal.nusantaraglobal.ac.id/index.php/sentri/article/view/2450</v>
      </c>
      <c r="R775" s="6"/>
    </row>
    <row r="776">
      <c r="A776" s="5">
        <f>IFERROR(__xludf.DUMMYFUNCTION("""COMPUTED_VALUE"""),775.0)</f>
        <v>775</v>
      </c>
      <c r="B776" s="6" t="str">
        <f>IFERROR(__xludf.DUMMYFUNCTION("""COMPUTED_VALUE"""),"PERILAKU KONSUMEN : KONSEP DAN IMPLEMENTASI")</f>
        <v>PERILAKU KONSUMEN : KONSEP DAN IMPLEMENTASI</v>
      </c>
      <c r="C776" s="7">
        <f>IFERROR(__xludf.DUMMYFUNCTION("""COMPUTED_VALUE"""),2024.0)</f>
        <v>2024</v>
      </c>
      <c r="D776" s="8" t="str">
        <f>IFERROR(__xludf.DUMMYFUNCTION("""COMPUTED_VALUE"""),"2023/2024")</f>
        <v>2023/2024</v>
      </c>
      <c r="E776" s="9">
        <f>IFERROR(__xludf.DUMMYFUNCTION("""COMPUTED_VALUE"""),45357.0)</f>
        <v>45357</v>
      </c>
      <c r="F776" s="5" t="str">
        <f>IFERROR(__xludf.DUMMYFUNCTION("""COMPUTED_VALUE"""),"Genap")</f>
        <v>Genap</v>
      </c>
      <c r="G776" s="5" t="str">
        <f>IFERROR(__xludf.DUMMYFUNCTION("""COMPUTED_VALUE"""),"Manajemen")</f>
        <v>Manajemen</v>
      </c>
      <c r="H776" s="10" t="str">
        <f>IFERROR(__xludf.DUMMYFUNCTION("""COMPUTED_VALUE"""),"Dosen")</f>
        <v>Dosen</v>
      </c>
      <c r="I776" s="6" t="str">
        <f>IFERROR(__xludf.DUMMYFUNCTION("""COMPUTED_VALUE"""),"Andri Nurtantiono")</f>
        <v>Andri Nurtantiono</v>
      </c>
      <c r="J776" s="6"/>
      <c r="K776" s="6"/>
      <c r="L776" s="6"/>
      <c r="M776" s="6"/>
      <c r="N776" s="6"/>
      <c r="O776" s="6"/>
      <c r="P776" s="10"/>
      <c r="Q776" s="11" t="str">
        <f>IFERROR(__xludf.DUMMYFUNCTION("""COMPUTED_VALUE"""),"https://repository.penerbiteureka.com/publications/568089/perilaku-konsumen-konsep-dan-implementasi")</f>
        <v>https://repository.penerbiteureka.com/publications/568089/perilaku-konsumen-konsep-dan-implementasi</v>
      </c>
      <c r="R776" s="6"/>
    </row>
    <row r="777">
      <c r="A777" s="5">
        <f>IFERROR(__xludf.DUMMYFUNCTION("""COMPUTED_VALUE"""),776.0)</f>
        <v>776</v>
      </c>
      <c r="B777" s="6" t="str">
        <f>IFERROR(__xludf.DUMMYFUNCTION("""COMPUTED_VALUE"""),"Pengaruh Retailing Mix, Brand Image, dan Kepuasan Pelanggan terhadap Loyalitas Pelanggan di Swalayan Luwes Group Surakarta")</f>
        <v>Pengaruh Retailing Mix, Brand Image, dan Kepuasan Pelanggan terhadap Loyalitas Pelanggan di Swalayan Luwes Group Surakarta</v>
      </c>
      <c r="C777" s="7">
        <f>IFERROR(__xludf.DUMMYFUNCTION("""COMPUTED_VALUE"""),2024.0)</f>
        <v>2024</v>
      </c>
      <c r="D777" s="8" t="str">
        <f>IFERROR(__xludf.DUMMYFUNCTION("""COMPUTED_VALUE"""),"2023/2024")</f>
        <v>2023/2024</v>
      </c>
      <c r="E777" s="9">
        <f>IFERROR(__xludf.DUMMYFUNCTION("""COMPUTED_VALUE"""),45358.0)</f>
        <v>45358</v>
      </c>
      <c r="F777" s="5" t="str">
        <f>IFERROR(__xludf.DUMMYFUNCTION("""COMPUTED_VALUE"""),"Genap")</f>
        <v>Genap</v>
      </c>
      <c r="G777" s="5" t="str">
        <f>IFERROR(__xludf.DUMMYFUNCTION("""COMPUTED_VALUE"""),"Manajemen")</f>
        <v>Manajemen</v>
      </c>
      <c r="H777" s="10" t="str">
        <f>IFERROR(__xludf.DUMMYFUNCTION("""COMPUTED_VALUE"""),"Mahasiswa")</f>
        <v>Mahasiswa</v>
      </c>
      <c r="I777" s="6" t="str">
        <f>IFERROR(__xludf.DUMMYFUNCTION("""COMPUTED_VALUE"""),"Candida Arsita Nuri Prasiwi")</f>
        <v>Candida Arsita Nuri Prasiwi</v>
      </c>
      <c r="J777" s="6" t="str">
        <f>IFERROR(__xludf.DUMMYFUNCTION("""COMPUTED_VALUE"""),"Ari Susanti")</f>
        <v>Ari Susanti</v>
      </c>
      <c r="K777" s="6"/>
      <c r="L777" s="6"/>
      <c r="M777" s="6"/>
      <c r="N777" s="6"/>
      <c r="O777" s="6"/>
      <c r="P777" s="10" t="str">
        <f>IFERROR(__xludf.DUMMYFUNCTION("""COMPUTED_VALUE"""),"Candida Arsita Nuri Prasiwi, Ari Susanti")</f>
        <v>Candida Arsita Nuri Prasiwi, Ari Susanti</v>
      </c>
      <c r="Q777" s="11" t="str">
        <f>IFERROR(__xludf.DUMMYFUNCTION("""COMPUTED_VALUE"""),"https://repository.stiesurakarta.ac.id/submission/f052aa46-858c-47fa-bc8b-dcfdfc6db732")</f>
        <v>https://repository.stiesurakarta.ac.id/submission/f052aa46-858c-47fa-bc8b-dcfdfc6db732</v>
      </c>
      <c r="R777" s="6"/>
    </row>
    <row r="778">
      <c r="A778" s="5">
        <f>IFERROR(__xludf.DUMMYFUNCTION("""COMPUTED_VALUE"""),777.0)</f>
        <v>777</v>
      </c>
      <c r="B778" s="6" t="str">
        <f>IFERROR(__xludf.DUMMYFUNCTION("""COMPUTED_VALUE"""),"Pengaruh Brand Equity terhadap Keputusan Pembelian Produk Ice Cream Mixue di Surakarta")</f>
        <v>Pengaruh Brand Equity terhadap Keputusan Pembelian Produk Ice Cream Mixue di Surakarta</v>
      </c>
      <c r="C778" s="7">
        <f>IFERROR(__xludf.DUMMYFUNCTION("""COMPUTED_VALUE"""),2024.0)</f>
        <v>2024</v>
      </c>
      <c r="D778" s="8" t="str">
        <f>IFERROR(__xludf.DUMMYFUNCTION("""COMPUTED_VALUE"""),"2023/2024")</f>
        <v>2023/2024</v>
      </c>
      <c r="E778" s="9">
        <f>IFERROR(__xludf.DUMMYFUNCTION("""COMPUTED_VALUE"""),45358.0)</f>
        <v>45358</v>
      </c>
      <c r="F778" s="5" t="str">
        <f>IFERROR(__xludf.DUMMYFUNCTION("""COMPUTED_VALUE"""),"Genap")</f>
        <v>Genap</v>
      </c>
      <c r="G778" s="5" t="str">
        <f>IFERROR(__xludf.DUMMYFUNCTION("""COMPUTED_VALUE"""),"Manajemen")</f>
        <v>Manajemen</v>
      </c>
      <c r="H778" s="10" t="str">
        <f>IFERROR(__xludf.DUMMYFUNCTION("""COMPUTED_VALUE"""),"Mahasiswa")</f>
        <v>Mahasiswa</v>
      </c>
      <c r="I778" s="6" t="str">
        <f>IFERROR(__xludf.DUMMYFUNCTION("""COMPUTED_VALUE"""),"Ossy Patresia Ekaristy")</f>
        <v>Ossy Patresia Ekaristy</v>
      </c>
      <c r="J778" s="6" t="str">
        <f>IFERROR(__xludf.DUMMYFUNCTION("""COMPUTED_VALUE"""),"Ari Susanti")</f>
        <v>Ari Susanti</v>
      </c>
      <c r="K778" s="6"/>
      <c r="L778" s="6"/>
      <c r="M778" s="6"/>
      <c r="N778" s="6"/>
      <c r="O778" s="6"/>
      <c r="P778" s="10" t="str">
        <f>IFERROR(__xludf.DUMMYFUNCTION("""COMPUTED_VALUE"""),"Ossy Patresia Ekaristy, Ari Susanti")</f>
        <v>Ossy Patresia Ekaristy, Ari Susanti</v>
      </c>
      <c r="Q778" s="11" t="str">
        <f>IFERROR(__xludf.DUMMYFUNCTION("""COMPUTED_VALUE"""),"https://repository.stiesurakarta.ac.id/submission/572b02b2-a9bd-4295-a353-ef284f0d1f22")</f>
        <v>https://repository.stiesurakarta.ac.id/submission/572b02b2-a9bd-4295-a353-ef284f0d1f22</v>
      </c>
      <c r="R778" s="6"/>
    </row>
    <row r="779">
      <c r="A779" s="5">
        <f>IFERROR(__xludf.DUMMYFUNCTION("""COMPUTED_VALUE"""),778.0)</f>
        <v>778</v>
      </c>
      <c r="B779" s="6" t="str">
        <f>IFERROR(__xludf.DUMMYFUNCTION("""COMPUTED_VALUE"""),"Analisis Struktur Modal Pada Perusahaan Asuransi Yang Terdaftar Di Bursa Efek Indonesia Periode 2019-2022")</f>
        <v>Analisis Struktur Modal Pada Perusahaan Asuransi Yang Terdaftar Di Bursa Efek Indonesia Periode 2019-2022</v>
      </c>
      <c r="C779" s="7">
        <f>IFERROR(__xludf.DUMMYFUNCTION("""COMPUTED_VALUE"""),2024.0)</f>
        <v>2024</v>
      </c>
      <c r="D779" s="8" t="str">
        <f>IFERROR(__xludf.DUMMYFUNCTION("""COMPUTED_VALUE"""),"2023/2024")</f>
        <v>2023/2024</v>
      </c>
      <c r="E779" s="9">
        <f>IFERROR(__xludf.DUMMYFUNCTION("""COMPUTED_VALUE"""),45358.0)</f>
        <v>45358</v>
      </c>
      <c r="F779" s="5" t="str">
        <f>IFERROR(__xludf.DUMMYFUNCTION("""COMPUTED_VALUE"""),"Genap")</f>
        <v>Genap</v>
      </c>
      <c r="G779" s="5" t="str">
        <f>IFERROR(__xludf.DUMMYFUNCTION("""COMPUTED_VALUE"""),"Akuntansi")</f>
        <v>Akuntansi</v>
      </c>
      <c r="H779" s="10" t="str">
        <f>IFERROR(__xludf.DUMMYFUNCTION("""COMPUTED_VALUE"""),"Mahasiswa")</f>
        <v>Mahasiswa</v>
      </c>
      <c r="I779" s="6" t="str">
        <f>IFERROR(__xludf.DUMMYFUNCTION("""COMPUTED_VALUE"""),"Mursita Ismayanti")</f>
        <v>Mursita Ismayanti</v>
      </c>
      <c r="J779" s="6" t="str">
        <f>IFERROR(__xludf.DUMMYFUNCTION("""COMPUTED_VALUE"""),"Eko Triyanto")</f>
        <v>Eko Triyanto</v>
      </c>
      <c r="K779" s="6"/>
      <c r="L779" s="6"/>
      <c r="M779" s="6"/>
      <c r="N779" s="6"/>
      <c r="O779" s="6"/>
      <c r="P779" s="10" t="str">
        <f>IFERROR(__xludf.DUMMYFUNCTION("""COMPUTED_VALUE"""),"Mursita Ismayanti, Eko Triyanto")</f>
        <v>Mursita Ismayanti, Eko Triyanto</v>
      </c>
      <c r="Q779" s="11" t="str">
        <f>IFERROR(__xludf.DUMMYFUNCTION("""COMPUTED_VALUE"""),"https://jurnal.alimspublishing.co.id/index.php/JISE/article/view/654")</f>
        <v>https://jurnal.alimspublishing.co.id/index.php/JISE/article/view/654</v>
      </c>
      <c r="R779" s="6"/>
    </row>
    <row r="780">
      <c r="A780" s="5">
        <f>IFERROR(__xludf.DUMMYFUNCTION("""COMPUTED_VALUE"""),779.0)</f>
        <v>779</v>
      </c>
      <c r="B780" s="6" t="str">
        <f>IFERROR(__xludf.DUMMYFUNCTION("""COMPUTED_VALUE"""),"Pengaruh Modal Usaha, Lokasi Usaha, Lama Usaha dan Teknologi Informasi terhadap Pendapatan Thrift Shopdi Kota Surakarta")</f>
        <v>Pengaruh Modal Usaha, Lokasi Usaha, Lama Usaha dan Teknologi Informasi terhadap Pendapatan Thrift Shopdi Kota Surakarta</v>
      </c>
      <c r="C780" s="7">
        <f>IFERROR(__xludf.DUMMYFUNCTION("""COMPUTED_VALUE"""),2024.0)</f>
        <v>2024</v>
      </c>
      <c r="D780" s="8" t="str">
        <f>IFERROR(__xludf.DUMMYFUNCTION("""COMPUTED_VALUE"""),"2023/2024")</f>
        <v>2023/2024</v>
      </c>
      <c r="E780" s="9">
        <f>IFERROR(__xludf.DUMMYFUNCTION("""COMPUTED_VALUE"""),45358.0)</f>
        <v>45358</v>
      </c>
      <c r="F780" s="5" t="str">
        <f>IFERROR(__xludf.DUMMYFUNCTION("""COMPUTED_VALUE"""),"Genap")</f>
        <v>Genap</v>
      </c>
      <c r="G780" s="5" t="str">
        <f>IFERROR(__xludf.DUMMYFUNCTION("""COMPUTED_VALUE"""),"Akuntansi")</f>
        <v>Akuntansi</v>
      </c>
      <c r="H780" s="10" t="str">
        <f>IFERROR(__xludf.DUMMYFUNCTION("""COMPUTED_VALUE"""),"Mahasiswa")</f>
        <v>Mahasiswa</v>
      </c>
      <c r="I780" s="6" t="str">
        <f>IFERROR(__xludf.DUMMYFUNCTION("""COMPUTED_VALUE"""),"Alfrida Sekar Ayuningtyas")</f>
        <v>Alfrida Sekar Ayuningtyas</v>
      </c>
      <c r="J780" s="6" t="str">
        <f>IFERROR(__xludf.DUMMYFUNCTION("""COMPUTED_VALUE"""),"Arif Farida")</f>
        <v>Arif Farida</v>
      </c>
      <c r="K780" s="6"/>
      <c r="L780" s="6"/>
      <c r="M780" s="6"/>
      <c r="N780" s="6"/>
      <c r="O780" s="6"/>
      <c r="P780" s="10" t="str">
        <f>IFERROR(__xludf.DUMMYFUNCTION("""COMPUTED_VALUE"""),"Alfrida Sekar Ayuningtyas, Arif Farida")</f>
        <v>Alfrida Sekar Ayuningtyas, Arif Farida</v>
      </c>
      <c r="Q780" s="11" t="str">
        <f>IFERROR(__xludf.DUMMYFUNCTION("""COMPUTED_VALUE"""),"https://jurnaluniv45sby.ac.id/index.php/Inisiatif/article/view/2268")</f>
        <v>https://jurnaluniv45sby.ac.id/index.php/Inisiatif/article/view/2268</v>
      </c>
      <c r="R780" s="6"/>
    </row>
    <row r="781">
      <c r="A781" s="5">
        <f>IFERROR(__xludf.DUMMYFUNCTION("""COMPUTED_VALUE"""),780.0)</f>
        <v>780</v>
      </c>
      <c r="B781" s="6" t="str">
        <f>IFERROR(__xludf.DUMMYFUNCTION("""COMPUTED_VALUE"""),"The Influence of Prices, Promotions, Product Quality and Product Diversity on Electric Cigarette Purchase Decisions by City Only")</f>
        <v>The Influence of Prices, Promotions, Product Quality and Product Diversity on Electric Cigarette Purchase Decisions by City Only</v>
      </c>
      <c r="C781" s="7">
        <f>IFERROR(__xludf.DUMMYFUNCTION("""COMPUTED_VALUE"""),2024.0)</f>
        <v>2024</v>
      </c>
      <c r="D781" s="8" t="str">
        <f>IFERROR(__xludf.DUMMYFUNCTION("""COMPUTED_VALUE"""),"2023/2024")</f>
        <v>2023/2024</v>
      </c>
      <c r="E781" s="9">
        <f>IFERROR(__xludf.DUMMYFUNCTION("""COMPUTED_VALUE"""),45369.0)</f>
        <v>45369</v>
      </c>
      <c r="F781" s="5" t="str">
        <f>IFERROR(__xludf.DUMMYFUNCTION("""COMPUTED_VALUE"""),"Genap")</f>
        <v>Genap</v>
      </c>
      <c r="G781" s="5" t="str">
        <f>IFERROR(__xludf.DUMMYFUNCTION("""COMPUTED_VALUE"""),"Manajemen")</f>
        <v>Manajemen</v>
      </c>
      <c r="H781" s="10" t="str">
        <f>IFERROR(__xludf.DUMMYFUNCTION("""COMPUTED_VALUE"""),"Mahasiswa")</f>
        <v>Mahasiswa</v>
      </c>
      <c r="I781" s="6" t="str">
        <f>IFERROR(__xludf.DUMMYFUNCTION("""COMPUTED_VALUE"""),"Ahmad Hayqal Hafizul Hanafiq")</f>
        <v>Ahmad Hayqal Hafizul Hanafiq</v>
      </c>
      <c r="J781" s="6" t="str">
        <f>IFERROR(__xludf.DUMMYFUNCTION("""COMPUTED_VALUE"""),"Christiawan Hendratmoko")</f>
        <v>Christiawan Hendratmoko</v>
      </c>
      <c r="K781" s="6"/>
      <c r="L781" s="6"/>
      <c r="M781" s="6"/>
      <c r="N781" s="6"/>
      <c r="O781" s="6"/>
      <c r="P781" s="10" t="str">
        <f>IFERROR(__xludf.DUMMYFUNCTION("""COMPUTED_VALUE"""),"Ahmad Hayqal Hafizul Hanafiq, Christiawan Hendratmoko")</f>
        <v>Ahmad Hayqal Hafizul Hanafiq, Christiawan Hendratmoko</v>
      </c>
      <c r="Q781" s="11" t="str">
        <f>IFERROR(__xludf.DUMMYFUNCTION("""COMPUTED_VALUE"""),"https://repository.stiesurakarta.ac.id/submission/0974cbd8-c81e-4987-98df-54820b031d89")</f>
        <v>https://repository.stiesurakarta.ac.id/submission/0974cbd8-c81e-4987-98df-54820b031d89</v>
      </c>
      <c r="R781" s="6"/>
    </row>
    <row r="782">
      <c r="A782" s="5">
        <f>IFERROR(__xludf.DUMMYFUNCTION("""COMPUTED_VALUE"""),781.0)</f>
        <v>781</v>
      </c>
      <c r="B782" s="6" t="str">
        <f>IFERROR(__xludf.DUMMYFUNCTION("""COMPUTED_VALUE"""),"Pengaruh Kepemimpinan, Fasilitas dan Lingkungan Kerja Terhadap Kinerja Karyawan Trans Studio Mini Solo Pabelan, Sukoharjo")</f>
        <v>Pengaruh Kepemimpinan, Fasilitas dan Lingkungan Kerja Terhadap Kinerja Karyawan Trans Studio Mini Solo Pabelan, Sukoharjo</v>
      </c>
      <c r="C782" s="7">
        <f>IFERROR(__xludf.DUMMYFUNCTION("""COMPUTED_VALUE"""),2024.0)</f>
        <v>2024</v>
      </c>
      <c r="D782" s="8" t="str">
        <f>IFERROR(__xludf.DUMMYFUNCTION("""COMPUTED_VALUE"""),"2023/2024")</f>
        <v>2023/2024</v>
      </c>
      <c r="E782" s="9">
        <f>IFERROR(__xludf.DUMMYFUNCTION("""COMPUTED_VALUE"""),45369.0)</f>
        <v>45369</v>
      </c>
      <c r="F782" s="5" t="str">
        <f>IFERROR(__xludf.DUMMYFUNCTION("""COMPUTED_VALUE"""),"Genap")</f>
        <v>Genap</v>
      </c>
      <c r="G782" s="5" t="str">
        <f>IFERROR(__xludf.DUMMYFUNCTION("""COMPUTED_VALUE"""),"Manajemen")</f>
        <v>Manajemen</v>
      </c>
      <c r="H782" s="10" t="str">
        <f>IFERROR(__xludf.DUMMYFUNCTION("""COMPUTED_VALUE"""),"Mahasiswa")</f>
        <v>Mahasiswa</v>
      </c>
      <c r="I782" s="6" t="str">
        <f>IFERROR(__xludf.DUMMYFUNCTION("""COMPUTED_VALUE"""),"Shotta Sirojuddin")</f>
        <v>Shotta Sirojuddin</v>
      </c>
      <c r="J782" s="6" t="str">
        <f>IFERROR(__xludf.DUMMYFUNCTION("""COMPUTED_VALUE"""),"Putri Maisara")</f>
        <v>Putri Maisara</v>
      </c>
      <c r="K782" s="6"/>
      <c r="L782" s="6"/>
      <c r="M782" s="6"/>
      <c r="N782" s="6"/>
      <c r="O782" s="6"/>
      <c r="P782" s="10" t="str">
        <f>IFERROR(__xludf.DUMMYFUNCTION("""COMPUTED_VALUE"""),"Shotta Sirojuddin, Putri Maisara")</f>
        <v>Shotta Sirojuddin, Putri Maisara</v>
      </c>
      <c r="Q782" s="11" t="str">
        <f>IFERROR(__xludf.DUMMYFUNCTION("""COMPUTED_VALUE"""),"https://repository.stiesurakarta.ac.id/submission/6569adaf-b912-4143-9840-8a079c405f0e")</f>
        <v>https://repository.stiesurakarta.ac.id/submission/6569adaf-b912-4143-9840-8a079c405f0e</v>
      </c>
      <c r="R782" s="6"/>
    </row>
    <row r="783">
      <c r="A783" s="5">
        <f>IFERROR(__xludf.DUMMYFUNCTION("""COMPUTED_VALUE"""),782.0)</f>
        <v>782</v>
      </c>
      <c r="B783" s="6" t="str">
        <f>IFERROR(__xludf.DUMMYFUNCTION("""COMPUTED_VALUE"""),"PENGARUH KEMAJUAN TEKNOLOGI, LITERASI KEUANGAN, DAN RISK TOLERANCETERHADAP MINAT INVESTASI MAHASISWA SOLO RAYA")</f>
        <v>PENGARUH KEMAJUAN TEKNOLOGI, LITERASI KEUANGAN, DAN RISK TOLERANCETERHADAP MINAT INVESTASI MAHASISWA SOLO RAYA</v>
      </c>
      <c r="C783" s="7">
        <f>IFERROR(__xludf.DUMMYFUNCTION("""COMPUTED_VALUE"""),2024.0)</f>
        <v>2024</v>
      </c>
      <c r="D783" s="8" t="str">
        <f>IFERROR(__xludf.DUMMYFUNCTION("""COMPUTED_VALUE"""),"2023/2024")</f>
        <v>2023/2024</v>
      </c>
      <c r="E783" s="9">
        <f>IFERROR(__xludf.DUMMYFUNCTION("""COMPUTED_VALUE"""),45370.0)</f>
        <v>45370</v>
      </c>
      <c r="F783" s="5" t="str">
        <f>IFERROR(__xludf.DUMMYFUNCTION("""COMPUTED_VALUE"""),"Genap")</f>
        <v>Genap</v>
      </c>
      <c r="G783" s="5" t="str">
        <f>IFERROR(__xludf.DUMMYFUNCTION("""COMPUTED_VALUE"""),"Manajemen")</f>
        <v>Manajemen</v>
      </c>
      <c r="H783" s="10" t="str">
        <f>IFERROR(__xludf.DUMMYFUNCTION("""COMPUTED_VALUE"""),"Mahasiswa")</f>
        <v>Mahasiswa</v>
      </c>
      <c r="I783" s="6" t="str">
        <f>IFERROR(__xludf.DUMMYFUNCTION("""COMPUTED_VALUE"""),"Yosafat Angga Praditya Nugroho")</f>
        <v>Yosafat Angga Praditya Nugroho</v>
      </c>
      <c r="J783" s="6" t="str">
        <f>IFERROR(__xludf.DUMMYFUNCTION("""COMPUTED_VALUE"""),"Putri Maisara")</f>
        <v>Putri Maisara</v>
      </c>
      <c r="K783" s="6"/>
      <c r="L783" s="6"/>
      <c r="M783" s="6"/>
      <c r="N783" s="6"/>
      <c r="O783" s="6"/>
      <c r="P783" s="10" t="str">
        <f>IFERROR(__xludf.DUMMYFUNCTION("""COMPUTED_VALUE"""),"Yosafat Angga Praditya Nugroho, Putri Maisara")</f>
        <v>Yosafat Angga Praditya Nugroho, Putri Maisara</v>
      </c>
      <c r="Q783" s="11" t="str">
        <f>IFERROR(__xludf.DUMMYFUNCTION("""COMPUTED_VALUE"""),"https://jurnal.syntax-idea.co.id/index.php/syntax-idea/article/view/3019")</f>
        <v>https://jurnal.syntax-idea.co.id/index.php/syntax-idea/article/view/3019</v>
      </c>
      <c r="R783" s="6"/>
    </row>
    <row r="784">
      <c r="A784" s="5">
        <f>IFERROR(__xludf.DUMMYFUNCTION("""COMPUTED_VALUE"""),783.0)</f>
        <v>783</v>
      </c>
      <c r="B784" s="6" t="str">
        <f>IFERROR(__xludf.DUMMYFUNCTION("""COMPUTED_VALUE"""),"Pengaruh Pengeahuan, Kebijakan Modal Minimum, Pelatihan Pasar Modal dan Persepsi Resiko terhadap Minat Investasi Mahasiswa")</f>
        <v>Pengaruh Pengeahuan, Kebijakan Modal Minimum, Pelatihan Pasar Modal dan Persepsi Resiko terhadap Minat Investasi Mahasiswa</v>
      </c>
      <c r="C784" s="7">
        <f>IFERROR(__xludf.DUMMYFUNCTION("""COMPUTED_VALUE"""),2024.0)</f>
        <v>2024</v>
      </c>
      <c r="D784" s="8" t="str">
        <f>IFERROR(__xludf.DUMMYFUNCTION("""COMPUTED_VALUE"""),"2023/2024")</f>
        <v>2023/2024</v>
      </c>
      <c r="E784" s="9">
        <f>IFERROR(__xludf.DUMMYFUNCTION("""COMPUTED_VALUE"""),45371.0)</f>
        <v>45371</v>
      </c>
      <c r="F784" s="5" t="str">
        <f>IFERROR(__xludf.DUMMYFUNCTION("""COMPUTED_VALUE"""),"Genap")</f>
        <v>Genap</v>
      </c>
      <c r="G784" s="5" t="str">
        <f>IFERROR(__xludf.DUMMYFUNCTION("""COMPUTED_VALUE"""),"Akuntansi")</f>
        <v>Akuntansi</v>
      </c>
      <c r="H784" s="10" t="str">
        <f>IFERROR(__xludf.DUMMYFUNCTION("""COMPUTED_VALUE"""),"Mahasiswa")</f>
        <v>Mahasiswa</v>
      </c>
      <c r="I784" s="6" t="str">
        <f>IFERROR(__xludf.DUMMYFUNCTION("""COMPUTED_VALUE"""),"Ayu Roma Ainun Nisa")</f>
        <v>Ayu Roma Ainun Nisa</v>
      </c>
      <c r="J784" s="6" t="str">
        <f>IFERROR(__xludf.DUMMYFUNCTION("""COMPUTED_VALUE"""),"Dewi Ika Octavia")</f>
        <v>Dewi Ika Octavia</v>
      </c>
      <c r="K784" s="6"/>
      <c r="L784" s="6"/>
      <c r="M784" s="6"/>
      <c r="N784" s="6"/>
      <c r="O784" s="6"/>
      <c r="P784" s="10" t="str">
        <f>IFERROR(__xludf.DUMMYFUNCTION("""COMPUTED_VALUE"""),"Ayu Roma Ainun Nisa, Dewi Ika Octavia")</f>
        <v>Ayu Roma Ainun Nisa, Dewi Ika Octavia</v>
      </c>
      <c r="Q784" s="11" t="str">
        <f>IFERROR(__xludf.DUMMYFUNCTION("""COMPUTED_VALUE"""),"https://e-journal.naureendigition.com/index.php/pmb/article/view/1243")</f>
        <v>https://e-journal.naureendigition.com/index.php/pmb/article/view/1243</v>
      </c>
      <c r="R784" s="6"/>
    </row>
    <row r="785">
      <c r="A785" s="5">
        <f>IFERROR(__xludf.DUMMYFUNCTION("""COMPUTED_VALUE"""),784.0)</f>
        <v>784</v>
      </c>
      <c r="B785" s="6" t="str">
        <f>IFERROR(__xludf.DUMMYFUNCTION("""COMPUTED_VALUE"""),"HERDING BEHAVIOR AMONG NOVICE INVESTORS IN THE INDONESIAN STOCK MARKET")</f>
        <v>HERDING BEHAVIOR AMONG NOVICE INVESTORS IN THE INDONESIAN STOCK MARKET</v>
      </c>
      <c r="C785" s="7">
        <f>IFERROR(__xludf.DUMMYFUNCTION("""COMPUTED_VALUE"""),2024.0)</f>
        <v>2024</v>
      </c>
      <c r="D785" s="8" t="str">
        <f>IFERROR(__xludf.DUMMYFUNCTION("""COMPUTED_VALUE"""),"2023/2024")</f>
        <v>2023/2024</v>
      </c>
      <c r="E785" s="9">
        <f>IFERROR(__xludf.DUMMYFUNCTION("""COMPUTED_VALUE"""),45378.0)</f>
        <v>45378</v>
      </c>
      <c r="F785" s="5" t="str">
        <f>IFERROR(__xludf.DUMMYFUNCTION("""COMPUTED_VALUE"""),"Genap")</f>
        <v>Genap</v>
      </c>
      <c r="G785" s="5" t="str">
        <f>IFERROR(__xludf.DUMMYFUNCTION("""COMPUTED_VALUE"""),"Manajemen")</f>
        <v>Manajemen</v>
      </c>
      <c r="H785" s="10" t="str">
        <f>IFERROR(__xludf.DUMMYFUNCTION("""COMPUTED_VALUE"""),"Dosen")</f>
        <v>Dosen</v>
      </c>
      <c r="I785" s="6" t="str">
        <f>IFERROR(__xludf.DUMMYFUNCTION("""COMPUTED_VALUE"""),"Heny Kurnianingsih")</f>
        <v>Heny Kurnianingsih</v>
      </c>
      <c r="J785" s="6" t="str">
        <f>IFERROR(__xludf.DUMMYFUNCTION("""COMPUTED_VALUE"""),"Hardi Kusuma")</f>
        <v>Hardi Kusuma</v>
      </c>
      <c r="K785" s="6" t="str">
        <f>IFERROR(__xludf.DUMMYFUNCTION("""COMPUTED_VALUE"""),"Zaenal Arifin")</f>
        <v>Zaenal Arifin</v>
      </c>
      <c r="L785" s="6" t="str">
        <f>IFERROR(__xludf.DUMMYFUNCTION("""COMPUTED_VALUE"""),"Sutrisno")</f>
        <v>Sutrisno</v>
      </c>
      <c r="M785" s="6"/>
      <c r="N785" s="6"/>
      <c r="O785" s="6"/>
      <c r="P785" s="10"/>
      <c r="Q785" s="11" t="str">
        <f>IFERROR(__xludf.DUMMYFUNCTION("""COMPUTED_VALUE"""),"https://seyboldreport.org/article_overview?id=MDMyMDI0MDkyNzQ2MjkxNDcw")</f>
        <v>https://seyboldreport.org/article_overview?id=MDMyMDI0MDkyNzQ2MjkxNDcw</v>
      </c>
      <c r="R785" s="6"/>
    </row>
    <row r="786">
      <c r="A786" s="5">
        <f>IFERROR(__xludf.DUMMYFUNCTION("""COMPUTED_VALUE"""),785.0)</f>
        <v>785</v>
      </c>
      <c r="B786" s="6" t="str">
        <f>IFERROR(__xludf.DUMMYFUNCTION("""COMPUTED_VALUE"""),"Analisis Faktor – Faktor Yang Mempengaruhi Penggunaan Sistem Informasi Akuntansi Pada Pelaku Umkm Jamu Gendong Di Nguter")</f>
        <v>Analisis Faktor – Faktor Yang Mempengaruhi Penggunaan Sistem Informasi Akuntansi Pada Pelaku Umkm Jamu Gendong Di Nguter</v>
      </c>
      <c r="C786" s="7">
        <f>IFERROR(__xludf.DUMMYFUNCTION("""COMPUTED_VALUE"""),2024.0)</f>
        <v>2024</v>
      </c>
      <c r="D786" s="8" t="str">
        <f>IFERROR(__xludf.DUMMYFUNCTION("""COMPUTED_VALUE"""),"2023/2024")</f>
        <v>2023/2024</v>
      </c>
      <c r="E786" s="9">
        <f>IFERROR(__xludf.DUMMYFUNCTION("""COMPUTED_VALUE"""),45379.0)</f>
        <v>45379</v>
      </c>
      <c r="F786" s="5" t="str">
        <f>IFERROR(__xludf.DUMMYFUNCTION("""COMPUTED_VALUE"""),"Genap")</f>
        <v>Genap</v>
      </c>
      <c r="G786" s="5" t="str">
        <f>IFERROR(__xludf.DUMMYFUNCTION("""COMPUTED_VALUE"""),"Akuntansi")</f>
        <v>Akuntansi</v>
      </c>
      <c r="H786" s="10" t="str">
        <f>IFERROR(__xludf.DUMMYFUNCTION("""COMPUTED_VALUE"""),"Mahasiswa")</f>
        <v>Mahasiswa</v>
      </c>
      <c r="I786" s="6" t="str">
        <f>IFERROR(__xludf.DUMMYFUNCTION("""COMPUTED_VALUE"""),"Dewi Kusuma Wati")</f>
        <v>Dewi Kusuma Wati</v>
      </c>
      <c r="J786" s="6" t="str">
        <f>IFERROR(__xludf.DUMMYFUNCTION("""COMPUTED_VALUE"""),"Ismunawan")</f>
        <v>Ismunawan</v>
      </c>
      <c r="K786" s="6"/>
      <c r="L786" s="6"/>
      <c r="M786" s="6"/>
      <c r="N786" s="6"/>
      <c r="O786" s="6"/>
      <c r="P786" s="10" t="str">
        <f>IFERROR(__xludf.DUMMYFUNCTION("""COMPUTED_VALUE"""),"Dewi Kusuma Wati, Ismunawan")</f>
        <v>Dewi Kusuma Wati, Ismunawan</v>
      </c>
      <c r="Q786" s="11" t="str">
        <f>IFERROR(__xludf.DUMMYFUNCTION("""COMPUTED_VALUE"""),"https://jurnal.stie-aas.ac.id/index.php/jie/article/view/12742")</f>
        <v>https://jurnal.stie-aas.ac.id/index.php/jie/article/view/12742</v>
      </c>
      <c r="R786" s="6"/>
    </row>
    <row r="787">
      <c r="A787" s="5">
        <f>IFERROR(__xludf.DUMMYFUNCTION("""COMPUTED_VALUE"""),786.0)</f>
        <v>786</v>
      </c>
      <c r="B787" s="6" t="str">
        <f>IFERROR(__xludf.DUMMYFUNCTION("""COMPUTED_VALUE"""),"Factors that Influence the Financial Performance of MSMEs in Kartasura District")</f>
        <v>Factors that Influence the Financial Performance of MSMEs in Kartasura District</v>
      </c>
      <c r="C787" s="7">
        <f>IFERROR(__xludf.DUMMYFUNCTION("""COMPUTED_VALUE"""),2024.0)</f>
        <v>2024</v>
      </c>
      <c r="D787" s="8" t="str">
        <f>IFERROR(__xludf.DUMMYFUNCTION("""COMPUTED_VALUE"""),"2023/2024")</f>
        <v>2023/2024</v>
      </c>
      <c r="E787" s="9">
        <f>IFERROR(__xludf.DUMMYFUNCTION("""COMPUTED_VALUE"""),45381.0)</f>
        <v>45381</v>
      </c>
      <c r="F787" s="5" t="str">
        <f>IFERROR(__xludf.DUMMYFUNCTION("""COMPUTED_VALUE"""),"Genap")</f>
        <v>Genap</v>
      </c>
      <c r="G787" s="5" t="str">
        <f>IFERROR(__xludf.DUMMYFUNCTION("""COMPUTED_VALUE"""),"Akuntansi")</f>
        <v>Akuntansi</v>
      </c>
      <c r="H787" s="10" t="str">
        <f>IFERROR(__xludf.DUMMYFUNCTION("""COMPUTED_VALUE"""),"Mahasiswa")</f>
        <v>Mahasiswa</v>
      </c>
      <c r="I787" s="6" t="str">
        <f>IFERROR(__xludf.DUMMYFUNCTION("""COMPUTED_VALUE"""),"Nanda Kusuma Ningrum")</f>
        <v>Nanda Kusuma Ningrum</v>
      </c>
      <c r="J787" s="6" t="str">
        <f>IFERROR(__xludf.DUMMYFUNCTION("""COMPUTED_VALUE"""),"Ismunawan")</f>
        <v>Ismunawan</v>
      </c>
      <c r="K787" s="6"/>
      <c r="L787" s="6"/>
      <c r="M787" s="6"/>
      <c r="N787" s="6"/>
      <c r="O787" s="6"/>
      <c r="P787" s="10" t="str">
        <f>IFERROR(__xludf.DUMMYFUNCTION("""COMPUTED_VALUE"""),"Nanda Kusuma Ningrum, Ismunawan")</f>
        <v>Nanda Kusuma Ningrum, Ismunawan</v>
      </c>
      <c r="Q787" s="11" t="str">
        <f>IFERROR(__xludf.DUMMYFUNCTION("""COMPUTED_VALUE"""),"https://journal.formosapublisher.org/index.php/fjsr/article/view/8577")</f>
        <v>https://journal.formosapublisher.org/index.php/fjsr/article/view/8577</v>
      </c>
      <c r="R787" s="6"/>
    </row>
    <row r="788">
      <c r="A788" s="5">
        <f>IFERROR(__xludf.DUMMYFUNCTION("""COMPUTED_VALUE"""),787.0)</f>
        <v>787</v>
      </c>
      <c r="B788" s="6" t="str">
        <f>IFERROR(__xludf.DUMMYFUNCTION("""COMPUTED_VALUE"""),"PENGARUH KEPUASAN KERJA, KOMITMEN ORGANISASI, STRES KERJA DAN BEBAN KERJA TERHADAP TURNOVER INTENTION PADA KARYAWAN PT. SAMUDRA SINERGI JAYA DI SUKOHARJO")</f>
        <v>PENGARUH KEPUASAN KERJA, KOMITMEN ORGANISASI, STRES KERJA DAN BEBAN KERJA TERHADAP TURNOVER INTENTION PADA KARYAWAN PT. SAMUDRA SINERGI JAYA DI SUKOHARJO</v>
      </c>
      <c r="C788" s="7">
        <f>IFERROR(__xludf.DUMMYFUNCTION("""COMPUTED_VALUE"""),2024.0)</f>
        <v>2024</v>
      </c>
      <c r="D788" s="8" t="str">
        <f>IFERROR(__xludf.DUMMYFUNCTION("""COMPUTED_VALUE"""),"2023/2024")</f>
        <v>2023/2024</v>
      </c>
      <c r="E788" s="9">
        <f>IFERROR(__xludf.DUMMYFUNCTION("""COMPUTED_VALUE"""),45381.0)</f>
        <v>45381</v>
      </c>
      <c r="F788" s="5" t="str">
        <f>IFERROR(__xludf.DUMMYFUNCTION("""COMPUTED_VALUE"""),"Genap")</f>
        <v>Genap</v>
      </c>
      <c r="G788" s="5" t="str">
        <f>IFERROR(__xludf.DUMMYFUNCTION("""COMPUTED_VALUE"""),"Akuntansi")</f>
        <v>Akuntansi</v>
      </c>
      <c r="H788" s="10" t="str">
        <f>IFERROR(__xludf.DUMMYFUNCTION("""COMPUTED_VALUE"""),"Mahasiswa")</f>
        <v>Mahasiswa</v>
      </c>
      <c r="I788" s="6" t="str">
        <f>IFERROR(__xludf.DUMMYFUNCTION("""COMPUTED_VALUE"""),"Mohamad Bayu Nugroho")</f>
        <v>Mohamad Bayu Nugroho</v>
      </c>
      <c r="J788" s="6" t="str">
        <f>IFERROR(__xludf.DUMMYFUNCTION("""COMPUTED_VALUE"""),"Tri Ratna Pamikatsih")</f>
        <v>Tri Ratna Pamikatsih</v>
      </c>
      <c r="K788" s="6"/>
      <c r="L788" s="6"/>
      <c r="M788" s="6"/>
      <c r="N788" s="6"/>
      <c r="O788" s="6"/>
      <c r="P788" s="10" t="str">
        <f>IFERROR(__xludf.DUMMYFUNCTION("""COMPUTED_VALUE"""),"Mohamad Bayu Nugroho, Tri Ratna Pamikatsih")</f>
        <v>Mohamad Bayu Nugroho, Tri Ratna Pamikatsih</v>
      </c>
      <c r="Q788" s="11" t="str">
        <f>IFERROR(__xludf.DUMMYFUNCTION("""COMPUTED_VALUE"""),"https://ejurnal.kampusakademik.co.id/index.php/jrme/article/view/1161")</f>
        <v>https://ejurnal.kampusakademik.co.id/index.php/jrme/article/view/1161</v>
      </c>
      <c r="R788" s="6"/>
    </row>
    <row r="789">
      <c r="A789" s="5">
        <f>IFERROR(__xludf.DUMMYFUNCTION("""COMPUTED_VALUE"""),788.0)</f>
        <v>788</v>
      </c>
      <c r="B789" s="6" t="str">
        <f>IFERROR(__xludf.DUMMYFUNCTION("""COMPUTED_VALUE"""),"Pengaruh Kualitas Pelayanan, Word of Mouth, dan Promosi Terhadap Keputusan Pembelian di Efce Apparel")</f>
        <v>Pengaruh Kualitas Pelayanan, Word of Mouth, dan Promosi Terhadap Keputusan Pembelian di Efce Apparel</v>
      </c>
      <c r="C789" s="7">
        <f>IFERROR(__xludf.DUMMYFUNCTION("""COMPUTED_VALUE"""),2024.0)</f>
        <v>2024</v>
      </c>
      <c r="D789" s="8" t="str">
        <f>IFERROR(__xludf.DUMMYFUNCTION("""COMPUTED_VALUE"""),"2023/2024")</f>
        <v>2023/2024</v>
      </c>
      <c r="E789" s="9">
        <f>IFERROR(__xludf.DUMMYFUNCTION("""COMPUTED_VALUE"""),45383.0)</f>
        <v>45383</v>
      </c>
      <c r="F789" s="5" t="str">
        <f>IFERROR(__xludf.DUMMYFUNCTION("""COMPUTED_VALUE"""),"Genap")</f>
        <v>Genap</v>
      </c>
      <c r="G789" s="5" t="str">
        <f>IFERROR(__xludf.DUMMYFUNCTION("""COMPUTED_VALUE"""),"Manajemen")</f>
        <v>Manajemen</v>
      </c>
      <c r="H789" s="10" t="str">
        <f>IFERROR(__xludf.DUMMYFUNCTION("""COMPUTED_VALUE"""),"Mahasiswa")</f>
        <v>Mahasiswa</v>
      </c>
      <c r="I789" s="6" t="str">
        <f>IFERROR(__xludf.DUMMYFUNCTION("""COMPUTED_VALUE"""),"Riska Fitrianingsih")</f>
        <v>Riska Fitrianingsih</v>
      </c>
      <c r="J789" s="6" t="str">
        <f>IFERROR(__xludf.DUMMYFUNCTION("""COMPUTED_VALUE"""),"Putri Maisara")</f>
        <v>Putri Maisara</v>
      </c>
      <c r="K789" s="6"/>
      <c r="L789" s="6"/>
      <c r="M789" s="6"/>
      <c r="N789" s="6"/>
      <c r="O789" s="6"/>
      <c r="P789" s="10" t="str">
        <f>IFERROR(__xludf.DUMMYFUNCTION("""COMPUTED_VALUE"""),"Riska Fitrianingsih, Putri Maisara")</f>
        <v>Riska Fitrianingsih, Putri Maisara</v>
      </c>
      <c r="Q789" s="11" t="str">
        <f>IFERROR(__xludf.DUMMYFUNCTION("""COMPUTED_VALUE"""),"https://repository.stiesurakarta.ac.id/submission/ce1917e9-78d0-4f22-9aa3-04934f35bc29")</f>
        <v>https://repository.stiesurakarta.ac.id/submission/ce1917e9-78d0-4f22-9aa3-04934f35bc29</v>
      </c>
      <c r="R789" s="6"/>
    </row>
    <row r="790">
      <c r="A790" s="5">
        <f>IFERROR(__xludf.DUMMYFUNCTION("""COMPUTED_VALUE"""),789.0)</f>
        <v>789</v>
      </c>
      <c r="B790" s="6" t="str">
        <f>IFERROR(__xludf.DUMMYFUNCTION("""COMPUTED_VALUE"""),"Determinan Penerapan SAK EMKM pada UMKM di Kabupaten Boyolali")</f>
        <v>Determinan Penerapan SAK EMKM pada UMKM di Kabupaten Boyolali</v>
      </c>
      <c r="C790" s="7">
        <f>IFERROR(__xludf.DUMMYFUNCTION("""COMPUTED_VALUE"""),2024.0)</f>
        <v>2024</v>
      </c>
      <c r="D790" s="8" t="str">
        <f>IFERROR(__xludf.DUMMYFUNCTION("""COMPUTED_VALUE"""),"2023/2024")</f>
        <v>2023/2024</v>
      </c>
      <c r="E790" s="9">
        <f>IFERROR(__xludf.DUMMYFUNCTION("""COMPUTED_VALUE"""),45383.0)</f>
        <v>45383</v>
      </c>
      <c r="F790" s="5" t="str">
        <f>IFERROR(__xludf.DUMMYFUNCTION("""COMPUTED_VALUE"""),"Genap")</f>
        <v>Genap</v>
      </c>
      <c r="G790" s="5" t="str">
        <f>IFERROR(__xludf.DUMMYFUNCTION("""COMPUTED_VALUE"""),"Akuntansi")</f>
        <v>Akuntansi</v>
      </c>
      <c r="H790" s="10" t="str">
        <f>IFERROR(__xludf.DUMMYFUNCTION("""COMPUTED_VALUE"""),"Mahasiswa")</f>
        <v>Mahasiswa</v>
      </c>
      <c r="I790" s="6" t="str">
        <f>IFERROR(__xludf.DUMMYFUNCTION("""COMPUTED_VALUE"""),"Putri Desy Rahmawati")</f>
        <v>Putri Desy Rahmawati</v>
      </c>
      <c r="J790" s="6" t="str">
        <f>IFERROR(__xludf.DUMMYFUNCTION("""COMPUTED_VALUE"""),"Astuning Saharsini")</f>
        <v>Astuning Saharsini</v>
      </c>
      <c r="K790" s="6"/>
      <c r="L790" s="6"/>
      <c r="M790" s="6"/>
      <c r="N790" s="6"/>
      <c r="O790" s="6"/>
      <c r="P790" s="10" t="str">
        <f>IFERROR(__xludf.DUMMYFUNCTION("""COMPUTED_VALUE"""),"Putri Desy Rahmawati, Astuning Saharsini")</f>
        <v>Putri Desy Rahmawati, Astuning Saharsini</v>
      </c>
      <c r="Q790" s="11" t="str">
        <f>IFERROR(__xludf.DUMMYFUNCTION("""COMPUTED_VALUE"""),"https://repository.stiesurakarta.ac.id/submission/16a10bb4-41fa-45ae-83ff-58143c0e664d")</f>
        <v>https://repository.stiesurakarta.ac.id/submission/16a10bb4-41fa-45ae-83ff-58143c0e664d</v>
      </c>
      <c r="R790" s="6"/>
    </row>
    <row r="791">
      <c r="A791" s="5">
        <f>IFERROR(__xludf.DUMMYFUNCTION("""COMPUTED_VALUE"""),790.0)</f>
        <v>790</v>
      </c>
      <c r="B791" s="6" t="str">
        <f>IFERROR(__xludf.DUMMYFUNCTION("""COMPUTED_VALUE"""),"MENINGKATKAN KEBERHASILAN USAHA PETERNAKAN MAGOT MELALUI PENERAPAN AKUNTANSI DAN MANAJEMEN YANG EFEKTIF DAN EFISIEN")</f>
        <v>MENINGKATKAN KEBERHASILAN USAHA PETERNAKAN MAGOT MELALUI PENERAPAN AKUNTANSI DAN MANAJEMEN YANG EFEKTIF DAN EFISIEN</v>
      </c>
      <c r="C791" s="7">
        <f>IFERROR(__xludf.DUMMYFUNCTION("""COMPUTED_VALUE"""),2024.0)</f>
        <v>2024</v>
      </c>
      <c r="D791" s="8" t="str">
        <f>IFERROR(__xludf.DUMMYFUNCTION("""COMPUTED_VALUE"""),"2023/2024")</f>
        <v>2023/2024</v>
      </c>
      <c r="E791" s="9">
        <f>IFERROR(__xludf.DUMMYFUNCTION("""COMPUTED_VALUE"""),45383.0)</f>
        <v>45383</v>
      </c>
      <c r="F791" s="5" t="str">
        <f>IFERROR(__xludf.DUMMYFUNCTION("""COMPUTED_VALUE"""),"Genap")</f>
        <v>Genap</v>
      </c>
      <c r="G791" s="5" t="str">
        <f>IFERROR(__xludf.DUMMYFUNCTION("""COMPUTED_VALUE"""),"Akuntansi")</f>
        <v>Akuntansi</v>
      </c>
      <c r="H791" s="10" t="str">
        <f>IFERROR(__xludf.DUMMYFUNCTION("""COMPUTED_VALUE"""),"Dosen")</f>
        <v>Dosen</v>
      </c>
      <c r="I791" s="6" t="str">
        <f>IFERROR(__xludf.DUMMYFUNCTION("""COMPUTED_VALUE"""),"Rosita")</f>
        <v>Rosita</v>
      </c>
      <c r="J791" s="6" t="str">
        <f>IFERROR(__xludf.DUMMYFUNCTION("""COMPUTED_VALUE"""),"Heri Susanto")</f>
        <v>Heri Susanto</v>
      </c>
      <c r="K791" s="6" t="str">
        <f>IFERROR(__xludf.DUMMYFUNCTION("""COMPUTED_VALUE"""),"Ida Ayu Kade")</f>
        <v>Ida Ayu Kade</v>
      </c>
      <c r="L791" s="6" t="str">
        <f>IFERROR(__xludf.DUMMYFUNCTION("""COMPUTED_VALUE"""),"Amy Wulandari")</f>
        <v>Amy Wulandari</v>
      </c>
      <c r="M791" s="6"/>
      <c r="N791" s="6"/>
      <c r="O791" s="6"/>
      <c r="P791" s="10"/>
      <c r="Q791" s="11" t="str">
        <f>IFERROR(__xludf.DUMMYFUNCTION("""COMPUTED_VALUE"""),"https://kridacendekia.com/index.php/jkc/article/view/166")</f>
        <v>https://kridacendekia.com/index.php/jkc/article/view/166</v>
      </c>
      <c r="R791" s="6"/>
    </row>
    <row r="792">
      <c r="A792" s="5">
        <f>IFERROR(__xludf.DUMMYFUNCTION("""COMPUTED_VALUE"""),791.0)</f>
        <v>791</v>
      </c>
      <c r="B792" s="6" t="str">
        <f>IFERROR(__xludf.DUMMYFUNCTION("""COMPUTED_VALUE"""),"Metode Penelitian Manajemen")</f>
        <v>Metode Penelitian Manajemen</v>
      </c>
      <c r="C792" s="7">
        <f>IFERROR(__xludf.DUMMYFUNCTION("""COMPUTED_VALUE"""),2024.0)</f>
        <v>2024</v>
      </c>
      <c r="D792" s="8" t="str">
        <f>IFERROR(__xludf.DUMMYFUNCTION("""COMPUTED_VALUE"""),"2023/2024")</f>
        <v>2023/2024</v>
      </c>
      <c r="E792" s="9">
        <f>IFERROR(__xludf.DUMMYFUNCTION("""COMPUTED_VALUE"""),45386.0)</f>
        <v>45386</v>
      </c>
      <c r="F792" s="5" t="str">
        <f>IFERROR(__xludf.DUMMYFUNCTION("""COMPUTED_VALUE"""),"Genap")</f>
        <v>Genap</v>
      </c>
      <c r="G792" s="5" t="str">
        <f>IFERROR(__xludf.DUMMYFUNCTION("""COMPUTED_VALUE"""),"Manajemen")</f>
        <v>Manajemen</v>
      </c>
      <c r="H792" s="10" t="str">
        <f>IFERROR(__xludf.DUMMYFUNCTION("""COMPUTED_VALUE"""),"Dosen")</f>
        <v>Dosen</v>
      </c>
      <c r="I792" s="6" t="str">
        <f>IFERROR(__xludf.DUMMYFUNCTION("""COMPUTED_VALUE"""),"Ari Susanti")</f>
        <v>Ari Susanti</v>
      </c>
      <c r="J792" s="6"/>
      <c r="K792" s="6"/>
      <c r="L792" s="6"/>
      <c r="M792" s="6"/>
      <c r="N792" s="6"/>
      <c r="O792" s="6"/>
      <c r="P792" s="10"/>
      <c r="Q792" s="11" t="str">
        <f>IFERROR(__xludf.DUMMYFUNCTION("""COMPUTED_VALUE"""),"https://drive.google.com/file/d/136lWIOWzsZtqTNa2zwm2hbqsBrleG2eR/view?usp=drive_link")</f>
        <v>https://drive.google.com/file/d/136lWIOWzsZtqTNa2zwm2hbqsBrleG2eR/view?usp=drive_link</v>
      </c>
      <c r="R792" s="6"/>
    </row>
    <row r="793">
      <c r="A793" s="5">
        <f>IFERROR(__xludf.DUMMYFUNCTION("""COMPUTED_VALUE"""),792.0)</f>
        <v>792</v>
      </c>
      <c r="B793" s="6" t="str">
        <f>IFERROR(__xludf.DUMMYFUNCTION("""COMPUTED_VALUE"""),"Hubungan Antara Benefit, Fanatisme, dan Affordable Harga Terhadap Keputusan Mengikuti Event Fanmeet Exo X Scarlett")</f>
        <v>Hubungan Antara Benefit, Fanatisme, dan Affordable Harga Terhadap Keputusan Mengikuti Event Fanmeet Exo X Scarlett</v>
      </c>
      <c r="C793" s="7">
        <f>IFERROR(__xludf.DUMMYFUNCTION("""COMPUTED_VALUE"""),2024.0)</f>
        <v>2024</v>
      </c>
      <c r="D793" s="8" t="str">
        <f>IFERROR(__xludf.DUMMYFUNCTION("""COMPUTED_VALUE"""),"2023/2024")</f>
        <v>2023/2024</v>
      </c>
      <c r="E793" s="9">
        <f>IFERROR(__xludf.DUMMYFUNCTION("""COMPUTED_VALUE"""),45387.0)</f>
        <v>45387</v>
      </c>
      <c r="F793" s="5" t="str">
        <f>IFERROR(__xludf.DUMMYFUNCTION("""COMPUTED_VALUE"""),"Genap")</f>
        <v>Genap</v>
      </c>
      <c r="G793" s="5" t="str">
        <f>IFERROR(__xludf.DUMMYFUNCTION("""COMPUTED_VALUE"""),"Manajemen")</f>
        <v>Manajemen</v>
      </c>
      <c r="H793" s="10" t="str">
        <f>IFERROR(__xludf.DUMMYFUNCTION("""COMPUTED_VALUE"""),"Mahasiswa")</f>
        <v>Mahasiswa</v>
      </c>
      <c r="I793" s="6" t="str">
        <f>IFERROR(__xludf.DUMMYFUNCTION("""COMPUTED_VALUE"""),"Diva Mustafa")</f>
        <v>Diva Mustafa</v>
      </c>
      <c r="J793" s="6" t="str">
        <f>IFERROR(__xludf.DUMMYFUNCTION("""COMPUTED_VALUE"""),"Putri Maisara")</f>
        <v>Putri Maisara</v>
      </c>
      <c r="K793" s="6"/>
      <c r="L793" s="6"/>
      <c r="M793" s="6"/>
      <c r="N793" s="6"/>
      <c r="O793" s="6"/>
      <c r="P793" s="10" t="str">
        <f>IFERROR(__xludf.DUMMYFUNCTION("""COMPUTED_VALUE"""),"Diva Mustafa, Putri Maisara")</f>
        <v>Diva Mustafa, Putri Maisara</v>
      </c>
      <c r="Q793" s="11" t="str">
        <f>IFERROR(__xludf.DUMMYFUNCTION("""COMPUTED_VALUE"""),"https://repository.stiesurakarta.ac.id/submission/d1cbcd37-d855-46d8-ab18-54f06cdc5b40")</f>
        <v>https://repository.stiesurakarta.ac.id/submission/d1cbcd37-d855-46d8-ab18-54f06cdc5b40</v>
      </c>
      <c r="R793" s="6"/>
    </row>
    <row r="794">
      <c r="A794" s="5">
        <f>IFERROR(__xludf.DUMMYFUNCTION("""COMPUTED_VALUE"""),793.0)</f>
        <v>793</v>
      </c>
      <c r="B794" s="6" t="str">
        <f>IFERROR(__xludf.DUMMYFUNCTION("""COMPUTED_VALUE"""),"Pengaruh Kualitas Pelayanan, Harga dan Ketepatan Waktu Terhadap Kepuasan Konsumen di Artiku Project")</f>
        <v>Pengaruh Kualitas Pelayanan, Harga dan Ketepatan Waktu Terhadap Kepuasan Konsumen di Artiku Project</v>
      </c>
      <c r="C794" s="7">
        <f>IFERROR(__xludf.DUMMYFUNCTION("""COMPUTED_VALUE"""),2024.0)</f>
        <v>2024</v>
      </c>
      <c r="D794" s="8" t="str">
        <f>IFERROR(__xludf.DUMMYFUNCTION("""COMPUTED_VALUE"""),"2023/2024")</f>
        <v>2023/2024</v>
      </c>
      <c r="E794" s="9">
        <f>IFERROR(__xludf.DUMMYFUNCTION("""COMPUTED_VALUE"""),45387.0)</f>
        <v>45387</v>
      </c>
      <c r="F794" s="5" t="str">
        <f>IFERROR(__xludf.DUMMYFUNCTION("""COMPUTED_VALUE"""),"Genap")</f>
        <v>Genap</v>
      </c>
      <c r="G794" s="5" t="str">
        <f>IFERROR(__xludf.DUMMYFUNCTION("""COMPUTED_VALUE"""),"Manajemen")</f>
        <v>Manajemen</v>
      </c>
      <c r="H794" s="10" t="str">
        <f>IFERROR(__xludf.DUMMYFUNCTION("""COMPUTED_VALUE"""),"Mahasiswa")</f>
        <v>Mahasiswa</v>
      </c>
      <c r="I794" s="6" t="str">
        <f>IFERROR(__xludf.DUMMYFUNCTION("""COMPUTED_VALUE"""),"Artiana Galuh Yulita")</f>
        <v>Artiana Galuh Yulita</v>
      </c>
      <c r="J794" s="6" t="str">
        <f>IFERROR(__xludf.DUMMYFUNCTION("""COMPUTED_VALUE"""),"Putri Maisara")</f>
        <v>Putri Maisara</v>
      </c>
      <c r="K794" s="6"/>
      <c r="L794" s="6"/>
      <c r="M794" s="6"/>
      <c r="N794" s="6"/>
      <c r="O794" s="6"/>
      <c r="P794" s="10" t="str">
        <f>IFERROR(__xludf.DUMMYFUNCTION("""COMPUTED_VALUE"""),"Artiana Galuh Yulita, Putri Maisara")</f>
        <v>Artiana Galuh Yulita, Putri Maisara</v>
      </c>
      <c r="Q794" s="11" t="str">
        <f>IFERROR(__xludf.DUMMYFUNCTION("""COMPUTED_VALUE"""),"https://repository.stiesurakarta.ac.id/submission/0900d84c-8aef-40aa-862b-01d491573ab1")</f>
        <v>https://repository.stiesurakarta.ac.id/submission/0900d84c-8aef-40aa-862b-01d491573ab1</v>
      </c>
      <c r="R794" s="6"/>
    </row>
    <row r="795">
      <c r="A795" s="5">
        <f>IFERROR(__xludf.DUMMYFUNCTION("""COMPUTED_VALUE"""),794.0)</f>
        <v>794</v>
      </c>
      <c r="B795" s="6" t="str">
        <f>IFERROR(__xludf.DUMMYFUNCTION("""COMPUTED_VALUE"""),"Peran Full Cost Recovery dalam Penentuan Tarif Desa Wisata: Studi Kasus pada BUMDes")</f>
        <v>Peran Full Cost Recovery dalam Penentuan Tarif Desa Wisata: Studi Kasus pada BUMDes</v>
      </c>
      <c r="C795" s="7">
        <f>IFERROR(__xludf.DUMMYFUNCTION("""COMPUTED_VALUE"""),2024.0)</f>
        <v>2024</v>
      </c>
      <c r="D795" s="8" t="str">
        <f>IFERROR(__xludf.DUMMYFUNCTION("""COMPUTED_VALUE"""),"2023/2024")</f>
        <v>2023/2024</v>
      </c>
      <c r="E795" s="9">
        <f>IFERROR(__xludf.DUMMYFUNCTION("""COMPUTED_VALUE"""),45397.0)</f>
        <v>45397</v>
      </c>
      <c r="F795" s="5" t="str">
        <f>IFERROR(__xludf.DUMMYFUNCTION("""COMPUTED_VALUE"""),"Genap")</f>
        <v>Genap</v>
      </c>
      <c r="G795" s="5" t="str">
        <f>IFERROR(__xludf.DUMMYFUNCTION("""COMPUTED_VALUE"""),"Akuntansi")</f>
        <v>Akuntansi</v>
      </c>
      <c r="H795" s="10" t="str">
        <f>IFERROR(__xludf.DUMMYFUNCTION("""COMPUTED_VALUE"""),"Dosen")</f>
        <v>Dosen</v>
      </c>
      <c r="I795" s="6" t="str">
        <f>IFERROR(__xludf.DUMMYFUNCTION("""COMPUTED_VALUE"""),"Heri Susanto")</f>
        <v>Heri Susanto</v>
      </c>
      <c r="J795" s="6" t="str">
        <f>IFERROR(__xludf.DUMMYFUNCTION("""COMPUTED_VALUE"""),"Rosita")</f>
        <v>Rosita</v>
      </c>
      <c r="K795" s="6" t="str">
        <f>IFERROR(__xludf.DUMMYFUNCTION("""COMPUTED_VALUE"""),"Riskin Hidayat")</f>
        <v>Riskin Hidayat</v>
      </c>
      <c r="L795" s="6" t="str">
        <f>IFERROR(__xludf.DUMMYFUNCTION("""COMPUTED_VALUE"""),"Ida Ayu Kade")</f>
        <v>Ida Ayu Kade</v>
      </c>
      <c r="M795" s="6"/>
      <c r="N795" s="6"/>
      <c r="O795" s="6"/>
      <c r="P795" s="10"/>
      <c r="Q795" s="11" t="str">
        <f>IFERROR(__xludf.DUMMYFUNCTION("""COMPUTED_VALUE"""),"http://ejurnal.setiabudi.ac.id/ojs/index.php/jbk/article/view/2468")</f>
        <v>http://ejurnal.setiabudi.ac.id/ojs/index.php/jbk/article/view/2468</v>
      </c>
      <c r="R795" s="6"/>
    </row>
    <row r="796">
      <c r="A796" s="5">
        <f>IFERROR(__xludf.DUMMYFUNCTION("""COMPUTED_VALUE"""),795.0)</f>
        <v>795</v>
      </c>
      <c r="B796" s="6" t="str">
        <f>IFERROR(__xludf.DUMMYFUNCTION("""COMPUTED_VALUE"""),"Analisis Faktor-Faktor Yang Mempengaruhi Keberlangsungan Usaha UMKM di Kabupaten Sukoharjo")</f>
        <v>Analisis Faktor-Faktor Yang Mempengaruhi Keberlangsungan Usaha UMKM di Kabupaten Sukoharjo</v>
      </c>
      <c r="C796" s="7">
        <f>IFERROR(__xludf.DUMMYFUNCTION("""COMPUTED_VALUE"""),2024.0)</f>
        <v>2024</v>
      </c>
      <c r="D796" s="8" t="str">
        <f>IFERROR(__xludf.DUMMYFUNCTION("""COMPUTED_VALUE"""),"2023/2024")</f>
        <v>2023/2024</v>
      </c>
      <c r="E796" s="9">
        <f>IFERROR(__xludf.DUMMYFUNCTION("""COMPUTED_VALUE"""),45414.0)</f>
        <v>45414</v>
      </c>
      <c r="F796" s="5" t="str">
        <f>IFERROR(__xludf.DUMMYFUNCTION("""COMPUTED_VALUE"""),"Genap")</f>
        <v>Genap</v>
      </c>
      <c r="G796" s="5" t="str">
        <f>IFERROR(__xludf.DUMMYFUNCTION("""COMPUTED_VALUE"""),"Akuntansi")</f>
        <v>Akuntansi</v>
      </c>
      <c r="H796" s="10" t="str">
        <f>IFERROR(__xludf.DUMMYFUNCTION("""COMPUTED_VALUE"""),"Mahasiswa")</f>
        <v>Mahasiswa</v>
      </c>
      <c r="I796" s="6" t="str">
        <f>IFERROR(__xludf.DUMMYFUNCTION("""COMPUTED_VALUE"""),"Tiara Salsabila Febriani Dika Putri")</f>
        <v>Tiara Salsabila Febriani Dika Putri</v>
      </c>
      <c r="J796" s="6" t="str">
        <f>IFERROR(__xludf.DUMMYFUNCTION("""COMPUTED_VALUE"""),"Tri Ratna Pamikatsih")</f>
        <v>Tri Ratna Pamikatsih</v>
      </c>
      <c r="K796" s="6"/>
      <c r="L796" s="6"/>
      <c r="M796" s="6"/>
      <c r="N796" s="6"/>
      <c r="O796" s="6"/>
      <c r="P796" s="10" t="str">
        <f>IFERROR(__xludf.DUMMYFUNCTION("""COMPUTED_VALUE"""),"Tiara Salsabila Febriani Dika Putri, Tri Ratna Pamikatsih")</f>
        <v>Tiara Salsabila Febriani Dika Putri, Tri Ratna Pamikatsih</v>
      </c>
      <c r="Q796" s="11" t="str">
        <f>IFERROR(__xludf.DUMMYFUNCTION("""COMPUTED_VALUE"""),"https://journal.unimar-amni.ac.id/index.php/profit/article/view/2068")</f>
        <v>https://journal.unimar-amni.ac.id/index.php/profit/article/view/2068</v>
      </c>
      <c r="R796" s="6"/>
    </row>
    <row r="797">
      <c r="A797" s="5">
        <f>IFERROR(__xludf.DUMMYFUNCTION("""COMPUTED_VALUE"""),796.0)</f>
        <v>796</v>
      </c>
      <c r="B797" s="6" t="str">
        <f>IFERROR(__xludf.DUMMYFUNCTION("""COMPUTED_VALUE"""),"PENGARUH EMPLOYEE ENGAGEMENT, KOMITMEN ORGANISASI DAN KEPUASAN KERJA TERHADAP KINERJA KARYAWAN PT. SINAR GRAFINDO")</f>
        <v>PENGARUH EMPLOYEE ENGAGEMENT, KOMITMEN ORGANISASI DAN KEPUASAN KERJA TERHADAP KINERJA KARYAWAN PT. SINAR GRAFINDO</v>
      </c>
      <c r="C797" s="7">
        <f>IFERROR(__xludf.DUMMYFUNCTION("""COMPUTED_VALUE"""),2024.0)</f>
        <v>2024</v>
      </c>
      <c r="D797" s="8" t="str">
        <f>IFERROR(__xludf.DUMMYFUNCTION("""COMPUTED_VALUE"""),"2023/2024")</f>
        <v>2023/2024</v>
      </c>
      <c r="E797" s="9">
        <f>IFERROR(__xludf.DUMMYFUNCTION("""COMPUTED_VALUE"""),45414.0)</f>
        <v>45414</v>
      </c>
      <c r="F797" s="5" t="str">
        <f>IFERROR(__xludf.DUMMYFUNCTION("""COMPUTED_VALUE"""),"Genap")</f>
        <v>Genap</v>
      </c>
      <c r="G797" s="5" t="str">
        <f>IFERROR(__xludf.DUMMYFUNCTION("""COMPUTED_VALUE"""),"Manajemen")</f>
        <v>Manajemen</v>
      </c>
      <c r="H797" s="10" t="str">
        <f>IFERROR(__xludf.DUMMYFUNCTION("""COMPUTED_VALUE"""),"Mahasiswa")</f>
        <v>Mahasiswa</v>
      </c>
      <c r="I797" s="6" t="str">
        <f>IFERROR(__xludf.DUMMYFUNCTION("""COMPUTED_VALUE"""),"Oky Kurniasari")</f>
        <v>Oky Kurniasari</v>
      </c>
      <c r="J797" s="6" t="str">
        <f>IFERROR(__xludf.DUMMYFUNCTION("""COMPUTED_VALUE"""),"Heny Kurnianingsih")</f>
        <v>Heny Kurnianingsih</v>
      </c>
      <c r="K797" s="6"/>
      <c r="L797" s="6"/>
      <c r="M797" s="6"/>
      <c r="N797" s="6"/>
      <c r="O797" s="6"/>
      <c r="P797" s="10" t="str">
        <f>IFERROR(__xludf.DUMMYFUNCTION("""COMPUTED_VALUE"""),"Oky Kurniasari, Heny Kurnianingsih")</f>
        <v>Oky Kurniasari, Heny Kurnianingsih</v>
      </c>
      <c r="Q797" s="11" t="str">
        <f>IFERROR(__xludf.DUMMYFUNCTION("""COMPUTED_VALUE"""),"https://ejurnal.kampusakademik.co.id/index.php/jrme/article/view/1227/version/1227")</f>
        <v>https://ejurnal.kampusakademik.co.id/index.php/jrme/article/view/1227/version/1227</v>
      </c>
      <c r="R797" s="6"/>
    </row>
    <row r="798">
      <c r="A798" s="5">
        <f>IFERROR(__xludf.DUMMYFUNCTION("""COMPUTED_VALUE"""),797.0)</f>
        <v>797</v>
      </c>
      <c r="B798" s="6" t="str">
        <f>IFERROR(__xludf.DUMMYFUNCTION("""COMPUTED_VALUE"""),"PENGARUH LITERASI KEUANGAN, PERENCANAAN KEUANGAN DAN GAYA HIDUP TERHADAP PENGELOLAAN KEUANGAN PADA IBU RUMAH TANGGA DI DESA BANGAK")</f>
        <v>PENGARUH LITERASI KEUANGAN, PERENCANAAN KEUANGAN DAN GAYA HIDUP TERHADAP PENGELOLAAN KEUANGAN PADA IBU RUMAH TANGGA DI DESA BANGAK</v>
      </c>
      <c r="C798" s="7">
        <f>IFERROR(__xludf.DUMMYFUNCTION("""COMPUTED_VALUE"""),2024.0)</f>
        <v>2024</v>
      </c>
      <c r="D798" s="8" t="str">
        <f>IFERROR(__xludf.DUMMYFUNCTION("""COMPUTED_VALUE"""),"2023/2024")</f>
        <v>2023/2024</v>
      </c>
      <c r="E798" s="9">
        <f>IFERROR(__xludf.DUMMYFUNCTION("""COMPUTED_VALUE"""),45418.0)</f>
        <v>45418</v>
      </c>
      <c r="F798" s="5" t="str">
        <f>IFERROR(__xludf.DUMMYFUNCTION("""COMPUTED_VALUE"""),"Genap")</f>
        <v>Genap</v>
      </c>
      <c r="G798" s="5" t="str">
        <f>IFERROR(__xludf.DUMMYFUNCTION("""COMPUTED_VALUE"""),"Manajemen")</f>
        <v>Manajemen</v>
      </c>
      <c r="H798" s="10" t="str">
        <f>IFERROR(__xludf.DUMMYFUNCTION("""COMPUTED_VALUE"""),"Mahasiswa")</f>
        <v>Mahasiswa</v>
      </c>
      <c r="I798" s="6" t="str">
        <f>IFERROR(__xludf.DUMMYFUNCTION("""COMPUTED_VALUE"""),"Anis Setianingsih")</f>
        <v>Anis Setianingsih</v>
      </c>
      <c r="J798" s="6" t="str">
        <f>IFERROR(__xludf.DUMMYFUNCTION("""COMPUTED_VALUE"""),"Heny Kurnianingsih")</f>
        <v>Heny Kurnianingsih</v>
      </c>
      <c r="K798" s="6"/>
      <c r="L798" s="6"/>
      <c r="M798" s="6"/>
      <c r="N798" s="6"/>
      <c r="O798" s="6"/>
      <c r="P798" s="10" t="str">
        <f>IFERROR(__xludf.DUMMYFUNCTION("""COMPUTED_VALUE"""),"Anis Setianingsih, Heny Kurnianingsih")</f>
        <v>Anis Setianingsih, Heny Kurnianingsih</v>
      </c>
      <c r="Q798" s="11" t="str">
        <f>IFERROR(__xludf.DUMMYFUNCTION("""COMPUTED_VALUE"""),"https://ejurnal.kampusakademik.co.id/index.php/jrme/article/view/1248")</f>
        <v>https://ejurnal.kampusakademik.co.id/index.php/jrme/article/view/1248</v>
      </c>
      <c r="R798" s="6"/>
    </row>
    <row r="799">
      <c r="A799" s="5">
        <f>IFERROR(__xludf.DUMMYFUNCTION("""COMPUTED_VALUE"""),798.0)</f>
        <v>798</v>
      </c>
      <c r="B799" s="6" t="str">
        <f>IFERROR(__xludf.DUMMYFUNCTION("""COMPUTED_VALUE"""),"Pengaruh E-WOM, Endorser Influencer, dan E-Service Quality Terhadap Keputusan Pembelian Online Pada Live Streaming TikTok Di Kabupaten Boyolali")</f>
        <v>Pengaruh E-WOM, Endorser Influencer, dan E-Service Quality Terhadap Keputusan Pembelian Online Pada Live Streaming TikTok Di Kabupaten Boyolali</v>
      </c>
      <c r="C799" s="7">
        <f>IFERROR(__xludf.DUMMYFUNCTION("""COMPUTED_VALUE"""),2024.0)</f>
        <v>2024</v>
      </c>
      <c r="D799" s="8" t="str">
        <f>IFERROR(__xludf.DUMMYFUNCTION("""COMPUTED_VALUE"""),"2023/2024")</f>
        <v>2023/2024</v>
      </c>
      <c r="E799" s="9">
        <f>IFERROR(__xludf.DUMMYFUNCTION("""COMPUTED_VALUE"""),45419.0)</f>
        <v>45419</v>
      </c>
      <c r="F799" s="5" t="str">
        <f>IFERROR(__xludf.DUMMYFUNCTION("""COMPUTED_VALUE"""),"Genap")</f>
        <v>Genap</v>
      </c>
      <c r="G799" s="5" t="str">
        <f>IFERROR(__xludf.DUMMYFUNCTION("""COMPUTED_VALUE"""),"Manajemen")</f>
        <v>Manajemen</v>
      </c>
      <c r="H799" s="10" t="str">
        <f>IFERROR(__xludf.DUMMYFUNCTION("""COMPUTED_VALUE"""),"Mahasiswa")</f>
        <v>Mahasiswa</v>
      </c>
      <c r="I799" s="6" t="str">
        <f>IFERROR(__xludf.DUMMYFUNCTION("""COMPUTED_VALUE"""),"Charisma Octaviana Saputri")</f>
        <v>Charisma Octaviana Saputri</v>
      </c>
      <c r="J799" s="6" t="str">
        <f>IFERROR(__xludf.DUMMYFUNCTION("""COMPUTED_VALUE"""),"Andri Nurtantiono")</f>
        <v>Andri Nurtantiono</v>
      </c>
      <c r="K799" s="6"/>
      <c r="L799" s="6"/>
      <c r="M799" s="6"/>
      <c r="N799" s="6"/>
      <c r="O799" s="6"/>
      <c r="P799" s="10" t="str">
        <f>IFERROR(__xludf.DUMMYFUNCTION("""COMPUTED_VALUE"""),"Charisma Octaviana Saputri, Andri Nurtantiono")</f>
        <v>Charisma Octaviana Saputri, Andri Nurtantiono</v>
      </c>
      <c r="Q799" s="11" t="str">
        <f>IFERROR(__xludf.DUMMYFUNCTION("""COMPUTED_VALUE"""),"https://jurnal.stie-aas.ac.id/index.php/jie/article/view/12306")</f>
        <v>https://jurnal.stie-aas.ac.id/index.php/jie/article/view/12306</v>
      </c>
      <c r="R799" s="6"/>
    </row>
    <row r="800">
      <c r="A800" s="5">
        <f>IFERROR(__xludf.DUMMYFUNCTION("""COMPUTED_VALUE"""),799.0)</f>
        <v>799</v>
      </c>
      <c r="B800" s="6" t="str">
        <f>IFERROR(__xludf.DUMMYFUNCTION("""COMPUTED_VALUE"""),"AN Empirical Study of Tourism Human Resources Management to Improving the Community Economy Around Jolotundo Umbul Bathroom, Klaten Regency")</f>
        <v>AN Empirical Study of Tourism Human Resources Management to Improving the Community Economy Around Jolotundo Umbul Bathroom, Klaten Regency</v>
      </c>
      <c r="C800" s="7">
        <f>IFERROR(__xludf.DUMMYFUNCTION("""COMPUTED_VALUE"""),2024.0)</f>
        <v>2024</v>
      </c>
      <c r="D800" s="8" t="str">
        <f>IFERROR(__xludf.DUMMYFUNCTION("""COMPUTED_VALUE"""),"2023/2024")</f>
        <v>2023/2024</v>
      </c>
      <c r="E800" s="9">
        <f>IFERROR(__xludf.DUMMYFUNCTION("""COMPUTED_VALUE"""),45426.0)</f>
        <v>45426</v>
      </c>
      <c r="F800" s="5" t="str">
        <f>IFERROR(__xludf.DUMMYFUNCTION("""COMPUTED_VALUE"""),"Genap")</f>
        <v>Genap</v>
      </c>
      <c r="G800" s="5" t="str">
        <f>IFERROR(__xludf.DUMMYFUNCTION("""COMPUTED_VALUE"""),"Akuntansi")</f>
        <v>Akuntansi</v>
      </c>
      <c r="H800" s="10" t="str">
        <f>IFERROR(__xludf.DUMMYFUNCTION("""COMPUTED_VALUE"""),"Dosen")</f>
        <v>Dosen</v>
      </c>
      <c r="I800" s="6" t="str">
        <f>IFERROR(__xludf.DUMMYFUNCTION("""COMPUTED_VALUE"""),"Rudi Prasetyo Ardi")</f>
        <v>Rudi Prasetyo Ardi</v>
      </c>
      <c r="J800" s="6" t="str">
        <f>IFERROR(__xludf.DUMMYFUNCTION("""COMPUTED_VALUE"""),"Getar Muhamad Ilham")</f>
        <v>Getar Muhamad Ilham</v>
      </c>
      <c r="K800" s="6" t="str">
        <f>IFERROR(__xludf.DUMMYFUNCTION("""COMPUTED_VALUE"""),"Rosita")</f>
        <v>Rosita</v>
      </c>
      <c r="L800" s="6" t="str">
        <f>IFERROR(__xludf.DUMMYFUNCTION("""COMPUTED_VALUE"""),"Heri Susanto")</f>
        <v>Heri Susanto</v>
      </c>
      <c r="M800" s="6"/>
      <c r="N800" s="6"/>
      <c r="O800" s="6"/>
      <c r="P800" s="10"/>
      <c r="Q800" s="11" t="str">
        <f>IFERROR(__xludf.DUMMYFUNCTION("""COMPUTED_VALUE"""),"https://jurnal.ampta.ac.id/index.php/MWS/article/view/421")</f>
        <v>https://jurnal.ampta.ac.id/index.php/MWS/article/view/421</v>
      </c>
      <c r="R800" s="6"/>
    </row>
    <row r="801">
      <c r="A801" s="5">
        <f>IFERROR(__xludf.DUMMYFUNCTION("""COMPUTED_VALUE"""),800.0)</f>
        <v>800</v>
      </c>
      <c r="B801" s="6" t="str">
        <f>IFERROR(__xludf.DUMMYFUNCTION("""COMPUTED_VALUE"""),"Pengaruh Modal, Teknologi, Tingkat Pendidikan Dan Jam Kerja Terhadap Pendapatan Umkm Di Kabupaten Sukoharjo")</f>
        <v>Pengaruh Modal, Teknologi, Tingkat Pendidikan Dan Jam Kerja Terhadap Pendapatan Umkm Di Kabupaten Sukoharjo</v>
      </c>
      <c r="C801" s="7">
        <f>IFERROR(__xludf.DUMMYFUNCTION("""COMPUTED_VALUE"""),2024.0)</f>
        <v>2024</v>
      </c>
      <c r="D801" s="8" t="str">
        <f>IFERROR(__xludf.DUMMYFUNCTION("""COMPUTED_VALUE"""),"2023/2024")</f>
        <v>2023/2024</v>
      </c>
      <c r="E801" s="9">
        <f>IFERROR(__xludf.DUMMYFUNCTION("""COMPUTED_VALUE"""),45428.0)</f>
        <v>45428</v>
      </c>
      <c r="F801" s="5" t="str">
        <f>IFERROR(__xludf.DUMMYFUNCTION("""COMPUTED_VALUE"""),"Genap")</f>
        <v>Genap</v>
      </c>
      <c r="G801" s="5" t="str">
        <f>IFERROR(__xludf.DUMMYFUNCTION("""COMPUTED_VALUE"""),"Akuntansi")</f>
        <v>Akuntansi</v>
      </c>
      <c r="H801" s="10" t="str">
        <f>IFERROR(__xludf.DUMMYFUNCTION("""COMPUTED_VALUE"""),"Mahasiswa")</f>
        <v>Mahasiswa</v>
      </c>
      <c r="I801" s="6" t="str">
        <f>IFERROR(__xludf.DUMMYFUNCTION("""COMPUTED_VALUE"""),"Ade Fitria Sukma Ardini")</f>
        <v>Ade Fitria Sukma Ardini</v>
      </c>
      <c r="J801" s="6" t="str">
        <f>IFERROR(__xludf.DUMMYFUNCTION("""COMPUTED_VALUE"""),"Arif Nugroho Rachman")</f>
        <v>Arif Nugroho Rachman</v>
      </c>
      <c r="K801" s="6"/>
      <c r="L801" s="6"/>
      <c r="M801" s="6"/>
      <c r="N801" s="6"/>
      <c r="O801" s="6"/>
      <c r="P801" s="10" t="str">
        <f>IFERROR(__xludf.DUMMYFUNCTION("""COMPUTED_VALUE"""),"Ade Fitria Sukma Ardini, Arif Nugroho Rachman")</f>
        <v>Ade Fitria Sukma Ardini, Arif Nugroho Rachman</v>
      </c>
      <c r="Q801" s="11" t="str">
        <f>IFERROR(__xludf.DUMMYFUNCTION("""COMPUTED_VALUE"""),"https://jurnaluniv45sby.ac.id/index.php/Inisiatif/article/view/2544")</f>
        <v>https://jurnaluniv45sby.ac.id/index.php/Inisiatif/article/view/2544</v>
      </c>
      <c r="R801" s="6"/>
    </row>
    <row r="802">
      <c r="A802" s="5">
        <f>IFERROR(__xludf.DUMMYFUNCTION("""COMPUTED_VALUE"""),801.0)</f>
        <v>801</v>
      </c>
      <c r="B802" s="6" t="str">
        <f>IFERROR(__xludf.DUMMYFUNCTION("""COMPUTED_VALUE"""),"MENGUJI STRUKTUR MODAL, UKURAN PERUSAHAAN DAN TATA KELOLA PERUSAHAAN TERHADAP PROFITABILITAS (Studi Empiris Pada Sub Sektor Perusahaan Makanan Dan Minuman Yang Terdaftar Di BEI)")</f>
        <v>MENGUJI STRUKTUR MODAL, UKURAN PERUSAHAAN DAN TATA KELOLA PERUSAHAAN TERHADAP PROFITABILITAS (Studi Empiris Pada Sub Sektor Perusahaan Makanan Dan Minuman Yang Terdaftar Di BEI)</v>
      </c>
      <c r="C802" s="7">
        <f>IFERROR(__xludf.DUMMYFUNCTION("""COMPUTED_VALUE"""),2024.0)</f>
        <v>2024</v>
      </c>
      <c r="D802" s="8" t="str">
        <f>IFERROR(__xludf.DUMMYFUNCTION("""COMPUTED_VALUE"""),"2023/2024")</f>
        <v>2023/2024</v>
      </c>
      <c r="E802" s="9">
        <f>IFERROR(__xludf.DUMMYFUNCTION("""COMPUTED_VALUE"""),45439.0)</f>
        <v>45439</v>
      </c>
      <c r="F802" s="5" t="str">
        <f>IFERROR(__xludf.DUMMYFUNCTION("""COMPUTED_VALUE"""),"Genap")</f>
        <v>Genap</v>
      </c>
      <c r="G802" s="5" t="str">
        <f>IFERROR(__xludf.DUMMYFUNCTION("""COMPUTED_VALUE"""),"Akuntansi")</f>
        <v>Akuntansi</v>
      </c>
      <c r="H802" s="10" t="str">
        <f>IFERROR(__xludf.DUMMYFUNCTION("""COMPUTED_VALUE"""),"Mahasiswa")</f>
        <v>Mahasiswa</v>
      </c>
      <c r="I802" s="6" t="str">
        <f>IFERROR(__xludf.DUMMYFUNCTION("""COMPUTED_VALUE"""),"Havinda Nur Jannah")</f>
        <v>Havinda Nur Jannah</v>
      </c>
      <c r="J802" s="6" t="str">
        <f>IFERROR(__xludf.DUMMYFUNCTION("""COMPUTED_VALUE"""),"Nur Kholis")</f>
        <v>Nur Kholis</v>
      </c>
      <c r="K802" s="6"/>
      <c r="L802" s="6"/>
      <c r="M802" s="6"/>
      <c r="N802" s="6"/>
      <c r="O802" s="6"/>
      <c r="P802" s="10" t="str">
        <f>IFERROR(__xludf.DUMMYFUNCTION("""COMPUTED_VALUE"""),"Havinda Nur Jannah, Nur Kholis")</f>
        <v>Havinda Nur Jannah, Nur Kholis</v>
      </c>
      <c r="Q802" s="11" t="str">
        <f>IFERROR(__xludf.DUMMYFUNCTION("""COMPUTED_VALUE"""),"https://www.bajangjournal.com/index.php/JIRK/article/view/7835/6115")</f>
        <v>https://www.bajangjournal.com/index.php/JIRK/article/view/7835/6115</v>
      </c>
      <c r="R802" s="6"/>
    </row>
    <row r="803">
      <c r="A803" s="5">
        <f>IFERROR(__xludf.DUMMYFUNCTION("""COMPUTED_VALUE"""),802.0)</f>
        <v>802</v>
      </c>
      <c r="B803" s="6" t="str">
        <f>IFERROR(__xludf.DUMMYFUNCTION("""COMPUTED_VALUE"""),"Pengaruh Meme Marketing Untuk Konsumen Generasi Z")</f>
        <v>Pengaruh Meme Marketing Untuk Konsumen Generasi Z</v>
      </c>
      <c r="C803" s="7">
        <f>IFERROR(__xludf.DUMMYFUNCTION("""COMPUTED_VALUE"""),2024.0)</f>
        <v>2024</v>
      </c>
      <c r="D803" s="8" t="str">
        <f>IFERROR(__xludf.DUMMYFUNCTION("""COMPUTED_VALUE"""),"2023/2024")</f>
        <v>2023/2024</v>
      </c>
      <c r="E803" s="9">
        <f>IFERROR(__xludf.DUMMYFUNCTION("""COMPUTED_VALUE"""),45457.0)</f>
        <v>45457</v>
      </c>
      <c r="F803" s="5" t="str">
        <f>IFERROR(__xludf.DUMMYFUNCTION("""COMPUTED_VALUE"""),"Genap")</f>
        <v>Genap</v>
      </c>
      <c r="G803" s="5" t="str">
        <f>IFERROR(__xludf.DUMMYFUNCTION("""COMPUTED_VALUE"""),"Manajemen")</f>
        <v>Manajemen</v>
      </c>
      <c r="H803" s="10" t="str">
        <f>IFERROR(__xludf.DUMMYFUNCTION("""COMPUTED_VALUE"""),"Dosen")</f>
        <v>Dosen</v>
      </c>
      <c r="I803" s="6" t="str">
        <f>IFERROR(__xludf.DUMMYFUNCTION("""COMPUTED_VALUE"""),"Satria Veriansyah Wiguna")</f>
        <v>Satria Veriansyah Wiguna</v>
      </c>
      <c r="J803" s="6" t="str">
        <f>IFERROR(__xludf.DUMMYFUNCTION("""COMPUTED_VALUE"""),"Atik Lusia")</f>
        <v>Atik Lusia</v>
      </c>
      <c r="K803" s="6" t="str">
        <f>IFERROR(__xludf.DUMMYFUNCTION("""COMPUTED_VALUE"""),"Alfin Fajar Nurrahman")</f>
        <v>Alfin Fajar Nurrahman</v>
      </c>
      <c r="L803" s="6"/>
      <c r="M803" s="6"/>
      <c r="N803" s="6"/>
      <c r="O803" s="6"/>
      <c r="P803" s="10"/>
      <c r="Q803" s="11" t="str">
        <f>IFERROR(__xludf.DUMMYFUNCTION("""COMPUTED_VALUE"""),"https://ejurnal.kampusakademik.co.id/index.php/jiem/article/view/1703")</f>
        <v>https://ejurnal.kampusakademik.co.id/index.php/jiem/article/view/1703</v>
      </c>
      <c r="R803" s="6"/>
    </row>
    <row r="804">
      <c r="A804" s="5">
        <f>IFERROR(__xludf.DUMMYFUNCTION("""COMPUTED_VALUE"""),803.0)</f>
        <v>803</v>
      </c>
      <c r="B804" s="6" t="str">
        <f>IFERROR(__xludf.DUMMYFUNCTION("""COMPUTED_VALUE"""),"PENGARUH CAR, FDR, NPF DAN BOPO TERHADAP PROFITABILITAS BANK SYARIAH ( STUDI KASUS PADA BANK MUAMALAT INDONESIA PERIODE TAHUN 2015-2022 )")</f>
        <v>PENGARUH CAR, FDR, NPF DAN BOPO TERHADAP PROFITABILITAS BANK SYARIAH ( STUDI KASUS PADA BANK MUAMALAT INDONESIA PERIODE TAHUN 2015-2022 )</v>
      </c>
      <c r="C804" s="7">
        <f>IFERROR(__xludf.DUMMYFUNCTION("""COMPUTED_VALUE"""),2024.0)</f>
        <v>2024</v>
      </c>
      <c r="D804" s="8" t="str">
        <f>IFERROR(__xludf.DUMMYFUNCTION("""COMPUTED_VALUE"""),"2023/2024")</f>
        <v>2023/2024</v>
      </c>
      <c r="E804" s="9">
        <f>IFERROR(__xludf.DUMMYFUNCTION("""COMPUTED_VALUE"""),45461.0)</f>
        <v>45461</v>
      </c>
      <c r="F804" s="5" t="str">
        <f>IFERROR(__xludf.DUMMYFUNCTION("""COMPUTED_VALUE"""),"Genap")</f>
        <v>Genap</v>
      </c>
      <c r="G804" s="5" t="str">
        <f>IFERROR(__xludf.DUMMYFUNCTION("""COMPUTED_VALUE"""),"Akuntansi")</f>
        <v>Akuntansi</v>
      </c>
      <c r="H804" s="10" t="str">
        <f>IFERROR(__xludf.DUMMYFUNCTION("""COMPUTED_VALUE"""),"Mahasiswa")</f>
        <v>Mahasiswa</v>
      </c>
      <c r="I804" s="6" t="str">
        <f>IFERROR(__xludf.DUMMYFUNCTION("""COMPUTED_VALUE"""),"Muhammad Yoga Pratama")</f>
        <v>Muhammad Yoga Pratama</v>
      </c>
      <c r="J804" s="6" t="str">
        <f>IFERROR(__xludf.DUMMYFUNCTION("""COMPUTED_VALUE"""),"Ismunawan")</f>
        <v>Ismunawan</v>
      </c>
      <c r="K804" s="6"/>
      <c r="L804" s="6"/>
      <c r="M804" s="6"/>
      <c r="N804" s="6"/>
      <c r="O804" s="6"/>
      <c r="P804" s="10" t="str">
        <f>IFERROR(__xludf.DUMMYFUNCTION("""COMPUTED_VALUE"""),"Muhammad Yoga Pratama, Ismunawan")</f>
        <v>Muhammad Yoga Pratama, Ismunawan</v>
      </c>
      <c r="Q804" s="11" t="str">
        <f>IFERROR(__xludf.DUMMYFUNCTION("""COMPUTED_VALUE"""),"https://ejurnal.kampusakademik.my.id/index.php/jemba/article/view/197")</f>
        <v>https://ejurnal.kampusakademik.my.id/index.php/jemba/article/view/197</v>
      </c>
      <c r="R804" s="6"/>
    </row>
    <row r="805">
      <c r="A805" s="5">
        <f>IFERROR(__xludf.DUMMYFUNCTION("""COMPUTED_VALUE"""),804.0)</f>
        <v>804</v>
      </c>
      <c r="B805" s="6" t="str">
        <f>IFERROR(__xludf.DUMMYFUNCTION("""COMPUTED_VALUE"""),"PENGARUH PERPUTARAN PIUTANG DAGANG, MODAL KERJA, PERSEDIAAN TERHADAP PROFITABILITAS PADA PERUSAHAAN RETAIL YANG LISTING DI BURSA EFEK INDONESIA PERIODE 2020 - 2022")</f>
        <v>PENGARUH PERPUTARAN PIUTANG DAGANG, MODAL KERJA, PERSEDIAAN TERHADAP PROFITABILITAS PADA PERUSAHAAN RETAIL YANG LISTING DI BURSA EFEK INDONESIA PERIODE 2020 - 2022</v>
      </c>
      <c r="C805" s="7">
        <f>IFERROR(__xludf.DUMMYFUNCTION("""COMPUTED_VALUE"""),2024.0)</f>
        <v>2024</v>
      </c>
      <c r="D805" s="8" t="str">
        <f>IFERROR(__xludf.DUMMYFUNCTION("""COMPUTED_VALUE"""),"2023/2024")</f>
        <v>2023/2024</v>
      </c>
      <c r="E805" s="9">
        <f>IFERROR(__xludf.DUMMYFUNCTION("""COMPUTED_VALUE"""),45462.0)</f>
        <v>45462</v>
      </c>
      <c r="F805" s="5" t="str">
        <f>IFERROR(__xludf.DUMMYFUNCTION("""COMPUTED_VALUE"""),"Genap")</f>
        <v>Genap</v>
      </c>
      <c r="G805" s="5" t="str">
        <f>IFERROR(__xludf.DUMMYFUNCTION("""COMPUTED_VALUE"""),"Akuntansi")</f>
        <v>Akuntansi</v>
      </c>
      <c r="H805" s="10" t="str">
        <f>IFERROR(__xludf.DUMMYFUNCTION("""COMPUTED_VALUE"""),"Mahasiswa")</f>
        <v>Mahasiswa</v>
      </c>
      <c r="I805" s="6" t="str">
        <f>IFERROR(__xludf.DUMMYFUNCTION("""COMPUTED_VALUE"""),"Ageng Saputra")</f>
        <v>Ageng Saputra</v>
      </c>
      <c r="J805" s="6" t="str">
        <f>IFERROR(__xludf.DUMMYFUNCTION("""COMPUTED_VALUE"""),"Arif Nugroho Rachman")</f>
        <v>Arif Nugroho Rachman</v>
      </c>
      <c r="K805" s="6"/>
      <c r="L805" s="6"/>
      <c r="M805" s="6"/>
      <c r="N805" s="6"/>
      <c r="O805" s="6"/>
      <c r="P805" s="10" t="str">
        <f>IFERROR(__xludf.DUMMYFUNCTION("""COMPUTED_VALUE"""),"Ageng Saputra, Arif Nugroho Rachman")</f>
        <v>Ageng Saputra, Arif Nugroho Rachman</v>
      </c>
      <c r="Q805" s="11" t="str">
        <f>IFERROR(__xludf.DUMMYFUNCTION("""COMPUTED_VALUE"""),"https://ejournal.warunayama.org/index.php/musytarineraca/article/view/3938")</f>
        <v>https://ejournal.warunayama.org/index.php/musytarineraca/article/view/3938</v>
      </c>
      <c r="R805" s="6"/>
    </row>
    <row r="806">
      <c r="A806" s="5">
        <f>IFERROR(__xludf.DUMMYFUNCTION("""COMPUTED_VALUE"""),805.0)</f>
        <v>805</v>
      </c>
      <c r="B806" s="6" t="str">
        <f>IFERROR(__xludf.DUMMYFUNCTION("""COMPUTED_VALUE"""),"PENGANTAR AKUNTANSI")</f>
        <v>PENGANTAR AKUNTANSI</v>
      </c>
      <c r="C806" s="7">
        <f>IFERROR(__xludf.DUMMYFUNCTION("""COMPUTED_VALUE"""),2024.0)</f>
        <v>2024</v>
      </c>
      <c r="D806" s="8" t="str">
        <f>IFERROR(__xludf.DUMMYFUNCTION("""COMPUTED_VALUE"""),"2023/2024")</f>
        <v>2023/2024</v>
      </c>
      <c r="E806" s="9">
        <f>IFERROR(__xludf.DUMMYFUNCTION("""COMPUTED_VALUE"""),45464.0)</f>
        <v>45464</v>
      </c>
      <c r="F806" s="5" t="str">
        <f>IFERROR(__xludf.DUMMYFUNCTION("""COMPUTED_VALUE"""),"Genap")</f>
        <v>Genap</v>
      </c>
      <c r="G806" s="5" t="str">
        <f>IFERROR(__xludf.DUMMYFUNCTION("""COMPUTED_VALUE"""),"Akuntansi")</f>
        <v>Akuntansi</v>
      </c>
      <c r="H806" s="10" t="str">
        <f>IFERROR(__xludf.DUMMYFUNCTION("""COMPUTED_VALUE"""),"Dosen")</f>
        <v>Dosen</v>
      </c>
      <c r="I806" s="6" t="str">
        <f>IFERROR(__xludf.DUMMYFUNCTION("""COMPUTED_VALUE"""),"Era Trianita Saputra")</f>
        <v>Era Trianita Saputra</v>
      </c>
      <c r="J806" s="6"/>
      <c r="K806" s="6"/>
      <c r="L806" s="6"/>
      <c r="M806" s="6"/>
      <c r="N806" s="6"/>
      <c r="O806" s="6"/>
      <c r="P806" s="10"/>
      <c r="Q806" s="11" t="str">
        <f>IFERROR(__xludf.DUMMYFUNCTION("""COMPUTED_VALUE"""),"https://drive.google.com/file/d/1fXRSQOUnOSLeWD8n-q33lhZrPW9hHTP3/view?usp=drive_link")</f>
        <v>https://drive.google.com/file/d/1fXRSQOUnOSLeWD8n-q33lhZrPW9hHTP3/view?usp=drive_link</v>
      </c>
      <c r="R806" s="6"/>
    </row>
    <row r="807">
      <c r="A807" s="5">
        <f>IFERROR(__xludf.DUMMYFUNCTION("""COMPUTED_VALUE"""),806.0)</f>
        <v>806</v>
      </c>
      <c r="B807" s="6" t="str">
        <f>IFERROR(__xludf.DUMMYFUNCTION("""COMPUTED_VALUE"""),"Determinants of investment decisions by interest investment as an intervening variable")</f>
        <v>Determinants of investment decisions by interest investment as an intervening variable</v>
      </c>
      <c r="C807" s="7">
        <f>IFERROR(__xludf.DUMMYFUNCTION("""COMPUTED_VALUE"""),2024.0)</f>
        <v>2024</v>
      </c>
      <c r="D807" s="8" t="str">
        <f>IFERROR(__xludf.DUMMYFUNCTION("""COMPUTED_VALUE"""),"2023/2024")</f>
        <v>2023/2024</v>
      </c>
      <c r="E807" s="9">
        <f>IFERROR(__xludf.DUMMYFUNCTION("""COMPUTED_VALUE"""),45471.0)</f>
        <v>45471</v>
      </c>
      <c r="F807" s="5" t="str">
        <f>IFERROR(__xludf.DUMMYFUNCTION("""COMPUTED_VALUE"""),"Genap")</f>
        <v>Genap</v>
      </c>
      <c r="G807" s="5" t="str">
        <f>IFERROR(__xludf.DUMMYFUNCTION("""COMPUTED_VALUE"""),"Akuntansi")</f>
        <v>Akuntansi</v>
      </c>
      <c r="H807" s="10" t="str">
        <f>IFERROR(__xludf.DUMMYFUNCTION("""COMPUTED_VALUE"""),"Dosen")</f>
        <v>Dosen</v>
      </c>
      <c r="I807" s="6" t="str">
        <f>IFERROR(__xludf.DUMMYFUNCTION("""COMPUTED_VALUE"""),"Era Trianita Saputra")</f>
        <v>Era Trianita Saputra</v>
      </c>
      <c r="J807" s="6" t="str">
        <f>IFERROR(__xludf.DUMMYFUNCTION("""COMPUTED_VALUE"""),"Ari Susanti")</f>
        <v>Ari Susanti</v>
      </c>
      <c r="K807" s="6" t="str">
        <f>IFERROR(__xludf.DUMMYFUNCTION("""COMPUTED_VALUE"""),"Dewi Ika Octavia")</f>
        <v>Dewi Ika Octavia</v>
      </c>
      <c r="L807" s="6" t="str">
        <f>IFERROR(__xludf.DUMMYFUNCTION("""COMPUTED_VALUE"""),"Rahmad Isa Rianto")</f>
        <v>Rahmad Isa Rianto</v>
      </c>
      <c r="M807" s="6"/>
      <c r="N807" s="6"/>
      <c r="O807" s="6"/>
      <c r="P807" s="10"/>
      <c r="Q807" s="11" t="str">
        <f>IFERROR(__xludf.DUMMYFUNCTION("""COMPUTED_VALUE"""),"https://thejbis.upy.ac.id/index.php/jbis/article/view/228")</f>
        <v>https://thejbis.upy.ac.id/index.php/jbis/article/view/228</v>
      </c>
      <c r="R807" s="6"/>
    </row>
    <row r="808">
      <c r="A808" s="5">
        <f>IFERROR(__xludf.DUMMYFUNCTION("""COMPUTED_VALUE"""),807.0)</f>
        <v>807</v>
      </c>
      <c r="B808" s="6" t="str">
        <f>IFERROR(__xludf.DUMMYFUNCTION("""COMPUTED_VALUE"""),"Determinants Of The Effectiveness Of Preschool BOP Fund Management In Banjarsari Sub-District")</f>
        <v>Determinants Of The Effectiveness Of Preschool BOP Fund Management In Banjarsari Sub-District</v>
      </c>
      <c r="C808" s="7">
        <f>IFERROR(__xludf.DUMMYFUNCTION("""COMPUTED_VALUE"""),2024.0)</f>
        <v>2024</v>
      </c>
      <c r="D808" s="8" t="str">
        <f>IFERROR(__xludf.DUMMYFUNCTION("""COMPUTED_VALUE"""),"2023/2024")</f>
        <v>2023/2024</v>
      </c>
      <c r="E808" s="9">
        <f>IFERROR(__xludf.DUMMYFUNCTION("""COMPUTED_VALUE"""),45472.0)</f>
        <v>45472</v>
      </c>
      <c r="F808" s="5" t="str">
        <f>IFERROR(__xludf.DUMMYFUNCTION("""COMPUTED_VALUE"""),"Genap")</f>
        <v>Genap</v>
      </c>
      <c r="G808" s="5" t="str">
        <f>IFERROR(__xludf.DUMMYFUNCTION("""COMPUTED_VALUE"""),"Akuntansi")</f>
        <v>Akuntansi</v>
      </c>
      <c r="H808" s="10" t="str">
        <f>IFERROR(__xludf.DUMMYFUNCTION("""COMPUTED_VALUE"""),"Mahasiswa")</f>
        <v>Mahasiswa</v>
      </c>
      <c r="I808" s="6" t="str">
        <f>IFERROR(__xludf.DUMMYFUNCTION("""COMPUTED_VALUE"""),"Nabillah Carlotta")</f>
        <v>Nabillah Carlotta</v>
      </c>
      <c r="J808" s="6" t="str">
        <f>IFERROR(__xludf.DUMMYFUNCTION("""COMPUTED_VALUE"""),"Astuning Saharsini")</f>
        <v>Astuning Saharsini</v>
      </c>
      <c r="K808" s="6"/>
      <c r="L808" s="6"/>
      <c r="M808" s="6"/>
      <c r="N808" s="6"/>
      <c r="O808" s="6"/>
      <c r="P808" s="10" t="str">
        <f>IFERROR(__xludf.DUMMYFUNCTION("""COMPUTED_VALUE"""),"Nabillah Carlotta, Astuning Saharsini")</f>
        <v>Nabillah Carlotta, Astuning Saharsini</v>
      </c>
      <c r="Q808" s="11" t="str">
        <f>IFERROR(__xludf.DUMMYFUNCTION("""COMPUTED_VALUE"""),"https://jurnal.unived.ac.id/index.php/jambd/article/view/5662")</f>
        <v>https://jurnal.unived.ac.id/index.php/jambd/article/view/5662</v>
      </c>
      <c r="R808" s="6"/>
    </row>
    <row r="809">
      <c r="A809" s="5">
        <f>IFERROR(__xludf.DUMMYFUNCTION("""COMPUTED_VALUE"""),808.0)</f>
        <v>808</v>
      </c>
      <c r="B809" s="6" t="str">
        <f>IFERROR(__xludf.DUMMYFUNCTION("""COMPUTED_VALUE"""),"Pendampingan Penentuan Harga Pokok Penjualan di Usaha Roti UMKM Mewarni Sukoharjo Jawa Tengah")</f>
        <v>Pendampingan Penentuan Harga Pokok Penjualan di Usaha Roti UMKM Mewarni Sukoharjo Jawa Tengah</v>
      </c>
      <c r="C809" s="7">
        <f>IFERROR(__xludf.DUMMYFUNCTION("""COMPUTED_VALUE"""),2024.0)</f>
        <v>2024</v>
      </c>
      <c r="D809" s="8" t="str">
        <f>IFERROR(__xludf.DUMMYFUNCTION("""COMPUTED_VALUE"""),"2023/2024")</f>
        <v>2023/2024</v>
      </c>
      <c r="E809" s="9">
        <f>IFERROR(__xludf.DUMMYFUNCTION("""COMPUTED_VALUE"""),45472.0)</f>
        <v>45472</v>
      </c>
      <c r="F809" s="5" t="str">
        <f>IFERROR(__xludf.DUMMYFUNCTION("""COMPUTED_VALUE"""),"Genap")</f>
        <v>Genap</v>
      </c>
      <c r="G809" s="5" t="str">
        <f>IFERROR(__xludf.DUMMYFUNCTION("""COMPUTED_VALUE"""),"Manajemen")</f>
        <v>Manajemen</v>
      </c>
      <c r="H809" s="10" t="str">
        <f>IFERROR(__xludf.DUMMYFUNCTION("""COMPUTED_VALUE"""),"Dosen")</f>
        <v>Dosen</v>
      </c>
      <c r="I809" s="6" t="str">
        <f>IFERROR(__xludf.DUMMYFUNCTION("""COMPUTED_VALUE"""),"Ari Susanti")</f>
        <v>Ari Susanti</v>
      </c>
      <c r="J809" s="6" t="str">
        <f>IFERROR(__xludf.DUMMYFUNCTION("""COMPUTED_VALUE"""),"Syafira Ade Choirun An Nisa")</f>
        <v>Syafira Ade Choirun An Nisa</v>
      </c>
      <c r="K809" s="6"/>
      <c r="L809" s="6"/>
      <c r="M809" s="6"/>
      <c r="N809" s="6"/>
      <c r="O809" s="6"/>
      <c r="P809" s="10"/>
      <c r="Q809" s="11" t="str">
        <f>IFERROR(__xludf.DUMMYFUNCTION("""COMPUTED_VALUE"""),"https://jurnalpengabdian.stiesurakarta.ac.id/index.php/Dms/article/view/85")</f>
        <v>https://jurnalpengabdian.stiesurakarta.ac.id/index.php/Dms/article/view/85</v>
      </c>
      <c r="R809" s="6"/>
    </row>
    <row r="810">
      <c r="A810" s="5">
        <f>IFERROR(__xludf.DUMMYFUNCTION("""COMPUTED_VALUE"""),809.0)</f>
        <v>809</v>
      </c>
      <c r="B810" s="6" t="str">
        <f>IFERROR(__xludf.DUMMYFUNCTION("""COMPUTED_VALUE"""),"Pemanfaatan Google Maps di UMKM Sarung Tenun Nurul di Dibal, Boyolali")</f>
        <v>Pemanfaatan Google Maps di UMKM Sarung Tenun Nurul di Dibal, Boyolali</v>
      </c>
      <c r="C810" s="7">
        <f>IFERROR(__xludf.DUMMYFUNCTION("""COMPUTED_VALUE"""),2024.0)</f>
        <v>2024</v>
      </c>
      <c r="D810" s="8" t="str">
        <f>IFERROR(__xludf.DUMMYFUNCTION("""COMPUTED_VALUE"""),"2023/2024")</f>
        <v>2023/2024</v>
      </c>
      <c r="E810" s="9">
        <f>IFERROR(__xludf.DUMMYFUNCTION("""COMPUTED_VALUE"""),45472.0)</f>
        <v>45472</v>
      </c>
      <c r="F810" s="5" t="str">
        <f>IFERROR(__xludf.DUMMYFUNCTION("""COMPUTED_VALUE"""),"Genap")</f>
        <v>Genap</v>
      </c>
      <c r="G810" s="5" t="str">
        <f>IFERROR(__xludf.DUMMYFUNCTION("""COMPUTED_VALUE"""),"Manajemen")</f>
        <v>Manajemen</v>
      </c>
      <c r="H810" s="10" t="str">
        <f>IFERROR(__xludf.DUMMYFUNCTION("""COMPUTED_VALUE"""),"Dosen")</f>
        <v>Dosen</v>
      </c>
      <c r="I810" s="6" t="str">
        <f>IFERROR(__xludf.DUMMYFUNCTION("""COMPUTED_VALUE"""),"Aditya Liliyan")</f>
        <v>Aditya Liliyan</v>
      </c>
      <c r="J810" s="6" t="str">
        <f>IFERROR(__xludf.DUMMYFUNCTION("""COMPUTED_VALUE"""),"Andhi Febrisatria")</f>
        <v>Andhi Febrisatria</v>
      </c>
      <c r="K810" s="6" t="str">
        <f>IFERROR(__xludf.DUMMYFUNCTION("""COMPUTED_VALUE"""),"Divandra Putri Etaprisastia")</f>
        <v>Divandra Putri Etaprisastia</v>
      </c>
      <c r="L810" s="6" t="str">
        <f>IFERROR(__xludf.DUMMYFUNCTION("""COMPUTED_VALUE"""),"Siska Ambarsari")</f>
        <v>Siska Ambarsari</v>
      </c>
      <c r="M810" s="6"/>
      <c r="N810" s="6"/>
      <c r="O810" s="6"/>
      <c r="P810" s="10"/>
      <c r="Q810" s="11" t="str">
        <f>IFERROR(__xludf.DUMMYFUNCTION("""COMPUTED_VALUE"""),"https://jurnalpengabdian.stiesurakarta.ac.id/index.php/Dms/article/view/86")</f>
        <v>https://jurnalpengabdian.stiesurakarta.ac.id/index.php/Dms/article/view/86</v>
      </c>
      <c r="R810" s="6"/>
    </row>
    <row r="811">
      <c r="A811" s="5">
        <f>IFERROR(__xludf.DUMMYFUNCTION("""COMPUTED_VALUE"""),810.0)</f>
        <v>810</v>
      </c>
      <c r="B811" s="6" t="str">
        <f>IFERROR(__xludf.DUMMYFUNCTION("""COMPUTED_VALUE"""),"Pembuatan Katalog Produk untuk UMKM Anyam NT. KAR di Boyolali")</f>
        <v>Pembuatan Katalog Produk untuk UMKM Anyam NT. KAR di Boyolali</v>
      </c>
      <c r="C811" s="7">
        <f>IFERROR(__xludf.DUMMYFUNCTION("""COMPUTED_VALUE"""),2024.0)</f>
        <v>2024</v>
      </c>
      <c r="D811" s="8" t="str">
        <f>IFERROR(__xludf.DUMMYFUNCTION("""COMPUTED_VALUE"""),"2023/2024")</f>
        <v>2023/2024</v>
      </c>
      <c r="E811" s="9">
        <f>IFERROR(__xludf.DUMMYFUNCTION("""COMPUTED_VALUE"""),45472.0)</f>
        <v>45472</v>
      </c>
      <c r="F811" s="5" t="str">
        <f>IFERROR(__xludf.DUMMYFUNCTION("""COMPUTED_VALUE"""),"Genap")</f>
        <v>Genap</v>
      </c>
      <c r="G811" s="5" t="str">
        <f>IFERROR(__xludf.DUMMYFUNCTION("""COMPUTED_VALUE"""),"Manajemen")</f>
        <v>Manajemen</v>
      </c>
      <c r="H811" s="10" t="str">
        <f>IFERROR(__xludf.DUMMYFUNCTION("""COMPUTED_VALUE"""),"Dosen")</f>
        <v>Dosen</v>
      </c>
      <c r="I811" s="6" t="str">
        <f>IFERROR(__xludf.DUMMYFUNCTION("""COMPUTED_VALUE"""),"Satria Veriansyah Wiguna")</f>
        <v>Satria Veriansyah Wiguna</v>
      </c>
      <c r="J811" s="6" t="str">
        <f>IFERROR(__xludf.DUMMYFUNCTION("""COMPUTED_VALUE"""),"Atik Lusia")</f>
        <v>Atik Lusia</v>
      </c>
      <c r="K811" s="6" t="str">
        <f>IFERROR(__xludf.DUMMYFUNCTION("""COMPUTED_VALUE"""),"Giris Putranti")</f>
        <v>Giris Putranti</v>
      </c>
      <c r="L811" s="6" t="str">
        <f>IFERROR(__xludf.DUMMYFUNCTION("""COMPUTED_VALUE"""),"Nadia Putri Wulandhari")</f>
        <v>Nadia Putri Wulandhari</v>
      </c>
      <c r="M811" s="6"/>
      <c r="N811" s="6"/>
      <c r="O811" s="6"/>
      <c r="P811" s="10"/>
      <c r="Q811" s="11" t="str">
        <f>IFERROR(__xludf.DUMMYFUNCTION("""COMPUTED_VALUE"""),"https://jurnalpengabdian.stiesurakarta.ac.id/index.php/Dms/article/view/87")</f>
        <v>https://jurnalpengabdian.stiesurakarta.ac.id/index.php/Dms/article/view/87</v>
      </c>
      <c r="R811" s="6"/>
    </row>
    <row r="812">
      <c r="A812" s="5">
        <f>IFERROR(__xludf.DUMMYFUNCTION("""COMPUTED_VALUE"""),811.0)</f>
        <v>811</v>
      </c>
      <c r="B812" s="6" t="str">
        <f>IFERROR(__xludf.DUMMYFUNCTION("""COMPUTED_VALUE"""),"Pendampingan Pencatatan Arus Kas Sederhana pada Usaha Roti UMKM Mewarni Sukoharjo Jawa Tengah")</f>
        <v>Pendampingan Pencatatan Arus Kas Sederhana pada Usaha Roti UMKM Mewarni Sukoharjo Jawa Tengah</v>
      </c>
      <c r="C812" s="7">
        <f>IFERROR(__xludf.DUMMYFUNCTION("""COMPUTED_VALUE"""),2024.0)</f>
        <v>2024</v>
      </c>
      <c r="D812" s="8" t="str">
        <f>IFERROR(__xludf.DUMMYFUNCTION("""COMPUTED_VALUE"""),"2023/2024")</f>
        <v>2023/2024</v>
      </c>
      <c r="E812" s="9">
        <f>IFERROR(__xludf.DUMMYFUNCTION("""COMPUTED_VALUE"""),45472.0)</f>
        <v>45472</v>
      </c>
      <c r="F812" s="5" t="str">
        <f>IFERROR(__xludf.DUMMYFUNCTION("""COMPUTED_VALUE"""),"Genap")</f>
        <v>Genap</v>
      </c>
      <c r="G812" s="5" t="str">
        <f>IFERROR(__xludf.DUMMYFUNCTION("""COMPUTED_VALUE"""),"Akuntansi")</f>
        <v>Akuntansi</v>
      </c>
      <c r="H812" s="10" t="str">
        <f>IFERROR(__xludf.DUMMYFUNCTION("""COMPUTED_VALUE"""),"Dosen")</f>
        <v>Dosen</v>
      </c>
      <c r="I812" s="6" t="str">
        <f>IFERROR(__xludf.DUMMYFUNCTION("""COMPUTED_VALUE"""),"Era Trianita Saputra")</f>
        <v>Era Trianita Saputra</v>
      </c>
      <c r="J812" s="6" t="str">
        <f>IFERROR(__xludf.DUMMYFUNCTION("""COMPUTED_VALUE"""),"Iyan Dwi Setiyanto")</f>
        <v>Iyan Dwi Setiyanto</v>
      </c>
      <c r="K812" s="6"/>
      <c r="L812" s="6"/>
      <c r="M812" s="6"/>
      <c r="N812" s="6"/>
      <c r="O812" s="6"/>
      <c r="P812" s="10"/>
      <c r="Q812" s="11" t="str">
        <f>IFERROR(__xludf.DUMMYFUNCTION("""COMPUTED_VALUE"""),"https://jurnalpengabdian.stiesurakarta.ac.id/index.php/Dms/article/view/90")</f>
        <v>https://jurnalpengabdian.stiesurakarta.ac.id/index.php/Dms/article/view/90</v>
      </c>
      <c r="R812" s="6"/>
    </row>
    <row r="813">
      <c r="A813" s="5">
        <f>IFERROR(__xludf.DUMMYFUNCTION("""COMPUTED_VALUE"""),812.0)</f>
        <v>812</v>
      </c>
      <c r="B813" s="6" t="str">
        <f>IFERROR(__xludf.DUMMYFUNCTION("""COMPUTED_VALUE"""),"Penguatan Brand Awareness Roti Mewarni Kartasura Sukoharjo")</f>
        <v>Penguatan Brand Awareness Roti Mewarni Kartasura Sukoharjo</v>
      </c>
      <c r="C813" s="7">
        <f>IFERROR(__xludf.DUMMYFUNCTION("""COMPUTED_VALUE"""),2024.0)</f>
        <v>2024</v>
      </c>
      <c r="D813" s="8" t="str">
        <f>IFERROR(__xludf.DUMMYFUNCTION("""COMPUTED_VALUE"""),"2023/2024")</f>
        <v>2023/2024</v>
      </c>
      <c r="E813" s="9">
        <f>IFERROR(__xludf.DUMMYFUNCTION("""COMPUTED_VALUE"""),45472.0)</f>
        <v>45472</v>
      </c>
      <c r="F813" s="5" t="str">
        <f>IFERROR(__xludf.DUMMYFUNCTION("""COMPUTED_VALUE"""),"Genap")</f>
        <v>Genap</v>
      </c>
      <c r="G813" s="5" t="str">
        <f>IFERROR(__xludf.DUMMYFUNCTION("""COMPUTED_VALUE"""),"Manajemen")</f>
        <v>Manajemen</v>
      </c>
      <c r="H813" s="10" t="str">
        <f>IFERROR(__xludf.DUMMYFUNCTION("""COMPUTED_VALUE"""),"Dosen")</f>
        <v>Dosen</v>
      </c>
      <c r="I813" s="6" t="str">
        <f>IFERROR(__xludf.DUMMYFUNCTION("""COMPUTED_VALUE"""),"Budi Istiyanto")</f>
        <v>Budi Istiyanto</v>
      </c>
      <c r="J813" s="6" t="str">
        <f>IFERROR(__xludf.DUMMYFUNCTION("""COMPUTED_VALUE"""),"Atik Lusia")</f>
        <v>Atik Lusia</v>
      </c>
      <c r="K813" s="6" t="str">
        <f>IFERROR(__xludf.DUMMYFUNCTION("""COMPUTED_VALUE"""),"R. Taufik")</f>
        <v>R. Taufik</v>
      </c>
      <c r="L813" s="6"/>
      <c r="M813" s="6"/>
      <c r="N813" s="6"/>
      <c r="O813" s="6"/>
      <c r="P813" s="10"/>
      <c r="Q813" s="11" t="str">
        <f>IFERROR(__xludf.DUMMYFUNCTION("""COMPUTED_VALUE"""),"https://jurnalpengabdian.stiesurakarta.ac.id/index.php/Dms/article/view/94")</f>
        <v>https://jurnalpengabdian.stiesurakarta.ac.id/index.php/Dms/article/view/94</v>
      </c>
      <c r="R813" s="6"/>
    </row>
    <row r="814">
      <c r="A814" s="5">
        <f>IFERROR(__xludf.DUMMYFUNCTION("""COMPUTED_VALUE"""),813.0)</f>
        <v>813</v>
      </c>
      <c r="B814" s="6" t="str">
        <f>IFERROR(__xludf.DUMMYFUNCTION("""COMPUTED_VALUE"""),"Pengaruh Persepsi Kegunaan dan Persepsi Kemudahan Penggunaan pada Minat Menggunakan Aplikasi Mobile JKN")</f>
        <v>Pengaruh Persepsi Kegunaan dan Persepsi Kemudahan Penggunaan pada Minat Menggunakan Aplikasi Mobile JKN</v>
      </c>
      <c r="C814" s="7">
        <f>IFERROR(__xludf.DUMMYFUNCTION("""COMPUTED_VALUE"""),2024.0)</f>
        <v>2024</v>
      </c>
      <c r="D814" s="8" t="str">
        <f>IFERROR(__xludf.DUMMYFUNCTION("""COMPUTED_VALUE"""),"2023/2024")</f>
        <v>2023/2024</v>
      </c>
      <c r="E814" s="9">
        <f>IFERROR(__xludf.DUMMYFUNCTION("""COMPUTED_VALUE"""),45473.0)</f>
        <v>45473</v>
      </c>
      <c r="F814" s="5" t="str">
        <f>IFERROR(__xludf.DUMMYFUNCTION("""COMPUTED_VALUE"""),"Genap")</f>
        <v>Genap</v>
      </c>
      <c r="G814" s="5" t="str">
        <f>IFERROR(__xludf.DUMMYFUNCTION("""COMPUTED_VALUE"""),"Manajemen")</f>
        <v>Manajemen</v>
      </c>
      <c r="H814" s="10" t="str">
        <f>IFERROR(__xludf.DUMMYFUNCTION("""COMPUTED_VALUE"""),"Dosen")</f>
        <v>Dosen</v>
      </c>
      <c r="I814" s="6" t="str">
        <f>IFERROR(__xludf.DUMMYFUNCTION("""COMPUTED_VALUE"""),"Aditya Liliyan")</f>
        <v>Aditya Liliyan</v>
      </c>
      <c r="J814" s="6" t="str">
        <f>IFERROR(__xludf.DUMMYFUNCTION("""COMPUTED_VALUE"""),"Andhi Febisatria")</f>
        <v>Andhi Febisatria</v>
      </c>
      <c r="K814" s="6" t="str">
        <f>IFERROR(__xludf.DUMMYFUNCTION("""COMPUTED_VALUE"""),"Satria Veriansyah Wiguna")</f>
        <v>Satria Veriansyah Wiguna</v>
      </c>
      <c r="L814" s="6"/>
      <c r="M814" s="6"/>
      <c r="N814" s="6"/>
      <c r="O814" s="6"/>
      <c r="P814" s="10"/>
      <c r="Q814" s="11" t="str">
        <f>IFERROR(__xludf.DUMMYFUNCTION("""COMPUTED_VALUE"""),"https://jurnal.stiesurakarta.ac.id/index.php/jebdeker/article/view/279")</f>
        <v>https://jurnal.stiesurakarta.ac.id/index.php/jebdeker/article/view/279</v>
      </c>
      <c r="R814" s="6"/>
    </row>
    <row r="815">
      <c r="A815" s="5">
        <f>IFERROR(__xludf.DUMMYFUNCTION("""COMPUTED_VALUE"""),814.0)</f>
        <v>814</v>
      </c>
      <c r="B815" s="6" t="str">
        <f>IFERROR(__xludf.DUMMYFUNCTION("""COMPUTED_VALUE"""),"Pengaruh Lokasi, Cita Rasa, dan Atmosfer Cafe pada Keputusan Pembelian Kopi Fore di Kota Solo")</f>
        <v>Pengaruh Lokasi, Cita Rasa, dan Atmosfer Cafe pada Keputusan Pembelian Kopi Fore di Kota Solo</v>
      </c>
      <c r="C815" s="7">
        <f>IFERROR(__xludf.DUMMYFUNCTION("""COMPUTED_VALUE"""),2024.0)</f>
        <v>2024</v>
      </c>
      <c r="D815" s="8" t="str">
        <f>IFERROR(__xludf.DUMMYFUNCTION("""COMPUTED_VALUE"""),"2023/2024")</f>
        <v>2023/2024</v>
      </c>
      <c r="E815" s="9">
        <f>IFERROR(__xludf.DUMMYFUNCTION("""COMPUTED_VALUE"""),45473.0)</f>
        <v>45473</v>
      </c>
      <c r="F815" s="5" t="str">
        <f>IFERROR(__xludf.DUMMYFUNCTION("""COMPUTED_VALUE"""),"Genap")</f>
        <v>Genap</v>
      </c>
      <c r="G815" s="5" t="str">
        <f>IFERROR(__xludf.DUMMYFUNCTION("""COMPUTED_VALUE"""),"Manajemen")</f>
        <v>Manajemen</v>
      </c>
      <c r="H815" s="10" t="str">
        <f>IFERROR(__xludf.DUMMYFUNCTION("""COMPUTED_VALUE"""),"Mahasiswa")</f>
        <v>Mahasiswa</v>
      </c>
      <c r="I815" s="6" t="str">
        <f>IFERROR(__xludf.DUMMYFUNCTION("""COMPUTED_VALUE"""),"Florensia")</f>
        <v>Florensia</v>
      </c>
      <c r="J815" s="6" t="str">
        <f>IFERROR(__xludf.DUMMYFUNCTION("""COMPUTED_VALUE"""),"Budi Istiyanto")</f>
        <v>Budi Istiyanto</v>
      </c>
      <c r="K815" s="6"/>
      <c r="L815" s="6"/>
      <c r="M815" s="6"/>
      <c r="N815" s="6"/>
      <c r="O815" s="6"/>
      <c r="P815" s="10" t="str">
        <f>IFERROR(__xludf.DUMMYFUNCTION("""COMPUTED_VALUE"""),"Florensia, Budi Istiyanto")</f>
        <v>Florensia, Budi Istiyanto</v>
      </c>
      <c r="Q815" s="11" t="str">
        <f>IFERROR(__xludf.DUMMYFUNCTION("""COMPUTED_VALUE"""),"https://jurnal.stiesurakarta.ac.id/index.php/jebdeker/article/view/329")</f>
        <v>https://jurnal.stiesurakarta.ac.id/index.php/jebdeker/article/view/329</v>
      </c>
      <c r="R815" s="6"/>
    </row>
    <row r="816">
      <c r="A816" s="5">
        <f>IFERROR(__xludf.DUMMYFUNCTION("""COMPUTED_VALUE"""),815.0)</f>
        <v>815</v>
      </c>
      <c r="B816" s="6" t="str">
        <f>IFERROR(__xludf.DUMMYFUNCTION("""COMPUTED_VALUE"""),"OPTIMALISASI TATA KELOLA LEMBAGA DESA YANG PROFESIONAL DAN AKUNTABEL DESA CEPOKOSAWIT, SAWIT, BOYOLALI")</f>
        <v>OPTIMALISASI TATA KELOLA LEMBAGA DESA YANG PROFESIONAL DAN AKUNTABEL DESA CEPOKOSAWIT, SAWIT, BOYOLALI</v>
      </c>
      <c r="C816" s="7">
        <f>IFERROR(__xludf.DUMMYFUNCTION("""COMPUTED_VALUE"""),2024.0)</f>
        <v>2024</v>
      </c>
      <c r="D816" s="8" t="str">
        <f>IFERROR(__xludf.DUMMYFUNCTION("""COMPUTED_VALUE"""),"2023/2024")</f>
        <v>2023/2024</v>
      </c>
      <c r="E816" s="9">
        <f>IFERROR(__xludf.DUMMYFUNCTION("""COMPUTED_VALUE"""),45473.0)</f>
        <v>45473</v>
      </c>
      <c r="F816" s="5" t="str">
        <f>IFERROR(__xludf.DUMMYFUNCTION("""COMPUTED_VALUE"""),"Genap")</f>
        <v>Genap</v>
      </c>
      <c r="G816" s="5" t="str">
        <f>IFERROR(__xludf.DUMMYFUNCTION("""COMPUTED_VALUE"""),"Manajemen")</f>
        <v>Manajemen</v>
      </c>
      <c r="H816" s="10" t="str">
        <f>IFERROR(__xludf.DUMMYFUNCTION("""COMPUTED_VALUE"""),"Dosen")</f>
        <v>Dosen</v>
      </c>
      <c r="I816" s="6" t="str">
        <f>IFERROR(__xludf.DUMMYFUNCTION("""COMPUTED_VALUE"""),"Christiawan Hendratmoko")</f>
        <v>Christiawan Hendratmoko</v>
      </c>
      <c r="J816" s="6" t="str">
        <f>IFERROR(__xludf.DUMMYFUNCTION("""COMPUTED_VALUE"""),"Muhammad Jalari")</f>
        <v>Muhammad Jalari</v>
      </c>
      <c r="K816" s="6" t="str">
        <f>IFERROR(__xludf.DUMMYFUNCTION("""COMPUTED_VALUE"""),"Arif Nugroho Rachman")</f>
        <v>Arif Nugroho Rachman</v>
      </c>
      <c r="L816" s="6" t="str">
        <f>IFERROR(__xludf.DUMMYFUNCTION("""COMPUTED_VALUE"""),"Andri Nurtantiono")</f>
        <v>Andri Nurtantiono</v>
      </c>
      <c r="M816" s="6" t="str">
        <f>IFERROR(__xludf.DUMMYFUNCTION("""COMPUTED_VALUE"""),"Heny Kurnianingsih")</f>
        <v>Heny Kurnianingsih</v>
      </c>
      <c r="N816" s="6" t="str">
        <f>IFERROR(__xludf.DUMMYFUNCTION("""COMPUTED_VALUE"""),"Eko Triyanto")</f>
        <v>Eko Triyanto</v>
      </c>
      <c r="O816" s="6" t="str">
        <f>IFERROR(__xludf.DUMMYFUNCTION("""COMPUTED_VALUE"""),"Ismunawan")</f>
        <v>Ismunawan</v>
      </c>
      <c r="P816" s="10"/>
      <c r="Q816" s="11" t="str">
        <f>IFERROR(__xludf.DUMMYFUNCTION("""COMPUTED_VALUE"""),"https://www.bajangjournal.com/index.php/J-ABDI/article/view/7845")</f>
        <v>https://www.bajangjournal.com/index.php/J-ABDI/article/view/7845</v>
      </c>
      <c r="R816" s="6"/>
    </row>
    <row r="817">
      <c r="A817" s="5">
        <f>IFERROR(__xludf.DUMMYFUNCTION("""COMPUTED_VALUE"""),816.0)</f>
        <v>816</v>
      </c>
      <c r="B817" s="6" t="str">
        <f>IFERROR(__xludf.DUMMYFUNCTION("""COMPUTED_VALUE"""),"PEMBERDAYAAN MASYARAKAT MELALUI PENGEMASAN PAKET WISATA DI KAWASAN PESISIRAN PANTAI BALONG MULYO KRAGAN")</f>
        <v>PEMBERDAYAAN MASYARAKAT MELALUI PENGEMASAN PAKET WISATA DI KAWASAN PESISIRAN PANTAI BALONG MULYO KRAGAN</v>
      </c>
      <c r="C817" s="7">
        <f>IFERROR(__xludf.DUMMYFUNCTION("""COMPUTED_VALUE"""),2024.0)</f>
        <v>2024</v>
      </c>
      <c r="D817" s="8" t="str">
        <f>IFERROR(__xludf.DUMMYFUNCTION("""COMPUTED_VALUE"""),"2023/2024")</f>
        <v>2023/2024</v>
      </c>
      <c r="E817" s="9">
        <f>IFERROR(__xludf.DUMMYFUNCTION("""COMPUTED_VALUE"""),45475.0)</f>
        <v>45475</v>
      </c>
      <c r="F817" s="5" t="str">
        <f>IFERROR(__xludf.DUMMYFUNCTION("""COMPUTED_VALUE"""),"Genap")</f>
        <v>Genap</v>
      </c>
      <c r="G817" s="5" t="str">
        <f>IFERROR(__xludf.DUMMYFUNCTION("""COMPUTED_VALUE"""),"Manajemen")</f>
        <v>Manajemen</v>
      </c>
      <c r="H817" s="10" t="str">
        <f>IFERROR(__xludf.DUMMYFUNCTION("""COMPUTED_VALUE"""),"Dosen")</f>
        <v>Dosen</v>
      </c>
      <c r="I817" s="6" t="str">
        <f>IFERROR(__xludf.DUMMYFUNCTION("""COMPUTED_VALUE"""),"Rikah")</f>
        <v>Rikah</v>
      </c>
      <c r="J817" s="6" t="str">
        <f>IFERROR(__xludf.DUMMYFUNCTION("""COMPUTED_VALUE"""),"Damayanti")</f>
        <v>Damayanti</v>
      </c>
      <c r="K817" s="6" t="str">
        <f>IFERROR(__xludf.DUMMYFUNCTION("""COMPUTED_VALUE"""),"Ari Susanti")</f>
        <v>Ari Susanti</v>
      </c>
      <c r="L817" s="6"/>
      <c r="M817" s="6"/>
      <c r="N817" s="6"/>
      <c r="O817" s="6"/>
      <c r="P817" s="10"/>
      <c r="Q817" s="11" t="str">
        <f>IFERROR(__xludf.DUMMYFUNCTION("""COMPUTED_VALUE"""),"http://www.journal.umuslim.ac.id/index.php/pkm/article/view/2399")</f>
        <v>http://www.journal.umuslim.ac.id/index.php/pkm/article/view/2399</v>
      </c>
      <c r="R817" s="6"/>
    </row>
    <row r="818">
      <c r="A818" s="5">
        <f>IFERROR(__xludf.DUMMYFUNCTION("""COMPUTED_VALUE"""),817.0)</f>
        <v>817</v>
      </c>
      <c r="B818" s="6" t="str">
        <f>IFERROR(__xludf.DUMMYFUNCTION("""COMPUTED_VALUE"""),"Pengaruh literasi keuangan, perilaku keuangan, risk tolerance, dan efikasi keuangan terhadap keputusan berinvestasi")</f>
        <v>Pengaruh literasi keuangan, perilaku keuangan, risk tolerance, dan efikasi keuangan terhadap keputusan berinvestasi</v>
      </c>
      <c r="C818" s="7">
        <f>IFERROR(__xludf.DUMMYFUNCTION("""COMPUTED_VALUE"""),2024.0)</f>
        <v>2024</v>
      </c>
      <c r="D818" s="8" t="str">
        <f>IFERROR(__xludf.DUMMYFUNCTION("""COMPUTED_VALUE"""),"2023/2024")</f>
        <v>2023/2024</v>
      </c>
      <c r="E818" s="9">
        <f>IFERROR(__xludf.DUMMYFUNCTION("""COMPUTED_VALUE"""),45477.0)</f>
        <v>45477</v>
      </c>
      <c r="F818" s="5" t="str">
        <f>IFERROR(__xludf.DUMMYFUNCTION("""COMPUTED_VALUE"""),"Genap")</f>
        <v>Genap</v>
      </c>
      <c r="G818" s="5" t="str">
        <f>IFERROR(__xludf.DUMMYFUNCTION("""COMPUTED_VALUE"""),"Manajemen")</f>
        <v>Manajemen</v>
      </c>
      <c r="H818" s="10" t="str">
        <f>IFERROR(__xludf.DUMMYFUNCTION("""COMPUTED_VALUE"""),"Mahasiswa")</f>
        <v>Mahasiswa</v>
      </c>
      <c r="I818" s="6" t="str">
        <f>IFERROR(__xludf.DUMMYFUNCTION("""COMPUTED_VALUE"""),"Juan Mandala Putra")</f>
        <v>Juan Mandala Putra</v>
      </c>
      <c r="J818" s="6" t="str">
        <f>IFERROR(__xludf.DUMMYFUNCTION("""COMPUTED_VALUE"""),"Christiawan Hendratmoko")</f>
        <v>Christiawan Hendratmoko</v>
      </c>
      <c r="K818" s="6"/>
      <c r="L818" s="6"/>
      <c r="M818" s="6"/>
      <c r="N818" s="6"/>
      <c r="O818" s="6"/>
      <c r="P818" s="10" t="str">
        <f>IFERROR(__xludf.DUMMYFUNCTION("""COMPUTED_VALUE"""),"Juan Mandala Putra, Christiawan Hendratmoko")</f>
        <v>Juan Mandala Putra, Christiawan Hendratmoko</v>
      </c>
      <c r="Q818" s="11" t="str">
        <f>IFERROR(__xludf.DUMMYFUNCTION("""COMPUTED_VALUE"""),"https://bajangjournal.com/index.php/Juremi/article/view/7938")</f>
        <v>https://bajangjournal.com/index.php/Juremi/article/view/7938</v>
      </c>
      <c r="R818" s="6"/>
    </row>
    <row r="819">
      <c r="A819" s="5">
        <f>IFERROR(__xludf.DUMMYFUNCTION("""COMPUTED_VALUE"""),818.0)</f>
        <v>818</v>
      </c>
      <c r="B819" s="6" t="str">
        <f>IFERROR(__xludf.DUMMYFUNCTION("""COMPUTED_VALUE"""),"Akuntansi Forensik dan Audit Investigatif")</f>
        <v>Akuntansi Forensik dan Audit Investigatif</v>
      </c>
      <c r="C819" s="7">
        <f>IFERROR(__xludf.DUMMYFUNCTION("""COMPUTED_VALUE"""),2024.0)</f>
        <v>2024</v>
      </c>
      <c r="D819" s="8" t="str">
        <f>IFERROR(__xludf.DUMMYFUNCTION("""COMPUTED_VALUE"""),"2023/2024")</f>
        <v>2023/2024</v>
      </c>
      <c r="E819" s="9">
        <f>IFERROR(__xludf.DUMMYFUNCTION("""COMPUTED_VALUE"""),45484.0)</f>
        <v>45484</v>
      </c>
      <c r="F819" s="5" t="str">
        <f>IFERROR(__xludf.DUMMYFUNCTION("""COMPUTED_VALUE"""),"Genap")</f>
        <v>Genap</v>
      </c>
      <c r="G819" s="5" t="str">
        <f>IFERROR(__xludf.DUMMYFUNCTION("""COMPUTED_VALUE"""),"Akuntansi")</f>
        <v>Akuntansi</v>
      </c>
      <c r="H819" s="10" t="str">
        <f>IFERROR(__xludf.DUMMYFUNCTION("""COMPUTED_VALUE"""),"Dosen")</f>
        <v>Dosen</v>
      </c>
      <c r="I819" s="6" t="str">
        <f>IFERROR(__xludf.DUMMYFUNCTION("""COMPUTED_VALUE"""),"Era Trianita Saputra")</f>
        <v>Era Trianita Saputra</v>
      </c>
      <c r="J819" s="6"/>
      <c r="K819" s="6"/>
      <c r="L819" s="6"/>
      <c r="M819" s="6"/>
      <c r="N819" s="6"/>
      <c r="O819" s="6"/>
      <c r="P819" s="10"/>
      <c r="Q819" s="11" t="str">
        <f>IFERROR(__xludf.DUMMYFUNCTION("""COMPUTED_VALUE"""),"https://drive.google.com/drive/folders/1IqTbCNJiWbjj8VTvPfCQfQXYzpkwvz2h")</f>
        <v>https://drive.google.com/drive/folders/1IqTbCNJiWbjj8VTvPfCQfQXYzpkwvz2h</v>
      </c>
      <c r="R819" s="6"/>
    </row>
    <row r="820">
      <c r="A820" s="5">
        <f>IFERROR(__xludf.DUMMYFUNCTION("""COMPUTED_VALUE"""),819.0)</f>
        <v>819</v>
      </c>
      <c r="B820" s="6" t="str">
        <f>IFERROR(__xludf.DUMMYFUNCTION("""COMPUTED_VALUE"""),"PENGARUH MODAL, LAPORAN KEUANGAN, PEMANFAATAN SISTEM INFORMASI AKUNTANSI DAN PENGGUNAAN TEKNOLOGI INFORMASI TERHADAP KINERJA UMKM DI BETENG TRADE CENTER (BTC) SOLO")</f>
        <v>PENGARUH MODAL, LAPORAN KEUANGAN, PEMANFAATAN SISTEM INFORMASI AKUNTANSI DAN PENGGUNAAN TEKNOLOGI INFORMASI TERHADAP KINERJA UMKM DI BETENG TRADE CENTER (BTC) SOLO</v>
      </c>
      <c r="C820" s="7">
        <f>IFERROR(__xludf.DUMMYFUNCTION("""COMPUTED_VALUE"""),2024.0)</f>
        <v>2024</v>
      </c>
      <c r="D820" s="8" t="str">
        <f>IFERROR(__xludf.DUMMYFUNCTION("""COMPUTED_VALUE"""),"2023/2024")</f>
        <v>2023/2024</v>
      </c>
      <c r="E820" s="9">
        <f>IFERROR(__xludf.DUMMYFUNCTION("""COMPUTED_VALUE"""),45488.0)</f>
        <v>45488</v>
      </c>
      <c r="F820" s="5" t="str">
        <f>IFERROR(__xludf.DUMMYFUNCTION("""COMPUTED_VALUE"""),"Genap")</f>
        <v>Genap</v>
      </c>
      <c r="G820" s="5" t="str">
        <f>IFERROR(__xludf.DUMMYFUNCTION("""COMPUTED_VALUE"""),"Akuntansi")</f>
        <v>Akuntansi</v>
      </c>
      <c r="H820" s="10" t="str">
        <f>IFERROR(__xludf.DUMMYFUNCTION("""COMPUTED_VALUE"""),"Mahasiswa")</f>
        <v>Mahasiswa</v>
      </c>
      <c r="I820" s="6" t="str">
        <f>IFERROR(__xludf.DUMMYFUNCTION("""COMPUTED_VALUE"""),"Risna Arventyani")</f>
        <v>Risna Arventyani</v>
      </c>
      <c r="J820" s="6" t="str">
        <f>IFERROR(__xludf.DUMMYFUNCTION("""COMPUTED_VALUE"""),"Ismunawan")</f>
        <v>Ismunawan</v>
      </c>
      <c r="K820" s="6"/>
      <c r="L820" s="6"/>
      <c r="M820" s="6"/>
      <c r="N820" s="6"/>
      <c r="O820" s="6"/>
      <c r="P820" s="10" t="str">
        <f>IFERROR(__xludf.DUMMYFUNCTION("""COMPUTED_VALUE"""),"Risna Arventyani, Ismunawan")</f>
        <v>Risna Arventyani, Ismunawan</v>
      </c>
      <c r="Q820" s="11" t="str">
        <f>IFERROR(__xludf.DUMMYFUNCTION("""COMPUTED_VALUE"""),"https://ejurnal.kampusakademik.co.id/index.php/jrme/article/view/2119")</f>
        <v>https://ejurnal.kampusakademik.co.id/index.php/jrme/article/view/2119</v>
      </c>
      <c r="R820" s="6"/>
    </row>
    <row r="821">
      <c r="A821" s="5">
        <f>IFERROR(__xludf.DUMMYFUNCTION("""COMPUTED_VALUE"""),820.0)</f>
        <v>820</v>
      </c>
      <c r="B821" s="6" t="str">
        <f>IFERROR(__xludf.DUMMYFUNCTION("""COMPUTED_VALUE"""),"Determinan Kontribusi Masyarakat Dalam Membayar Pbb-P2 Di Kecamatan Grogol")</f>
        <v>Determinan Kontribusi Masyarakat Dalam Membayar Pbb-P2 Di Kecamatan Grogol</v>
      </c>
      <c r="C821" s="7">
        <f>IFERROR(__xludf.DUMMYFUNCTION("""COMPUTED_VALUE"""),2024.0)</f>
        <v>2024</v>
      </c>
      <c r="D821" s="8" t="str">
        <f>IFERROR(__xludf.DUMMYFUNCTION("""COMPUTED_VALUE"""),"2023/2024")</f>
        <v>2023/2024</v>
      </c>
      <c r="E821" s="9">
        <f>IFERROR(__xludf.DUMMYFUNCTION("""COMPUTED_VALUE"""),45495.0)</f>
        <v>45495</v>
      </c>
      <c r="F821" s="5" t="str">
        <f>IFERROR(__xludf.DUMMYFUNCTION("""COMPUTED_VALUE"""),"Genap")</f>
        <v>Genap</v>
      </c>
      <c r="G821" s="5" t="str">
        <f>IFERROR(__xludf.DUMMYFUNCTION("""COMPUTED_VALUE"""),"Akuntansi")</f>
        <v>Akuntansi</v>
      </c>
      <c r="H821" s="10" t="str">
        <f>IFERROR(__xludf.DUMMYFUNCTION("""COMPUTED_VALUE"""),"Mahasiswa")</f>
        <v>Mahasiswa</v>
      </c>
      <c r="I821" s="6" t="str">
        <f>IFERROR(__xludf.DUMMYFUNCTION("""COMPUTED_VALUE"""),"Novanza Romalatifa Kosofiyar")</f>
        <v>Novanza Romalatifa Kosofiyar</v>
      </c>
      <c r="J821" s="6" t="str">
        <f>IFERROR(__xludf.DUMMYFUNCTION("""COMPUTED_VALUE"""),"Era Trianita Saputra")</f>
        <v>Era Trianita Saputra</v>
      </c>
      <c r="K821" s="6"/>
      <c r="L821" s="6"/>
      <c r="M821" s="6"/>
      <c r="N821" s="6"/>
      <c r="O821" s="6"/>
      <c r="P821" s="10" t="str">
        <f>IFERROR(__xludf.DUMMYFUNCTION("""COMPUTED_VALUE"""),"Novanza Romalatifa Kosofiyar, Era Trianita Saputra")</f>
        <v>Novanza Romalatifa Kosofiyar, Era Trianita Saputra</v>
      </c>
      <c r="Q821" s="11" t="str">
        <f>IFERROR(__xludf.DUMMYFUNCTION("""COMPUTED_VALUE"""),"https://journal.upy.ac.id/index.php/ubmj/article/view/6455")</f>
        <v>https://journal.upy.ac.id/index.php/ubmj/article/view/6455</v>
      </c>
      <c r="R821" s="6"/>
    </row>
    <row r="822">
      <c r="A822" s="5">
        <f>IFERROR(__xludf.DUMMYFUNCTION("""COMPUTED_VALUE"""),821.0)</f>
        <v>821</v>
      </c>
      <c r="B822" s="6" t="str">
        <f>IFERROR(__xludf.DUMMYFUNCTION("""COMPUTED_VALUE"""),"Digital Marketing")</f>
        <v>Digital Marketing</v>
      </c>
      <c r="C822" s="7">
        <f>IFERROR(__xludf.DUMMYFUNCTION("""COMPUTED_VALUE"""),2024.0)</f>
        <v>2024</v>
      </c>
      <c r="D822" s="8" t="str">
        <f>IFERROR(__xludf.DUMMYFUNCTION("""COMPUTED_VALUE"""),"2023/2024")</f>
        <v>2023/2024</v>
      </c>
      <c r="E822" s="9">
        <f>IFERROR(__xludf.DUMMYFUNCTION("""COMPUTED_VALUE"""),45497.0)</f>
        <v>45497</v>
      </c>
      <c r="F822" s="5" t="str">
        <f>IFERROR(__xludf.DUMMYFUNCTION("""COMPUTED_VALUE"""),"Genap")</f>
        <v>Genap</v>
      </c>
      <c r="G822" s="5" t="str">
        <f>IFERROR(__xludf.DUMMYFUNCTION("""COMPUTED_VALUE"""),"Manajemen")</f>
        <v>Manajemen</v>
      </c>
      <c r="H822" s="10" t="str">
        <f>IFERROR(__xludf.DUMMYFUNCTION("""COMPUTED_VALUE"""),"Dosen")</f>
        <v>Dosen</v>
      </c>
      <c r="I822" s="6" t="str">
        <f>IFERROR(__xludf.DUMMYFUNCTION("""COMPUTED_VALUE"""),"Budi Istiyanto")</f>
        <v>Budi Istiyanto</v>
      </c>
      <c r="J822" s="6"/>
      <c r="K822" s="6"/>
      <c r="L822" s="6"/>
      <c r="M822" s="6"/>
      <c r="N822" s="6"/>
      <c r="O822" s="6"/>
      <c r="P822" s="10"/>
      <c r="Q822" s="11" t="str">
        <f>IFERROR(__xludf.DUMMYFUNCTION("""COMPUTED_VALUE"""),"https://drive.google.com/file/d/1zve1N8MdC_s8uAnZfAwKKOAZpUyOdfdq/view?usp=sharing")</f>
        <v>https://drive.google.com/file/d/1zve1N8MdC_s8uAnZfAwKKOAZpUyOdfdq/view?usp=sharing</v>
      </c>
      <c r="R822" s="6"/>
    </row>
    <row r="823">
      <c r="A823" s="5">
        <f>IFERROR(__xludf.DUMMYFUNCTION("""COMPUTED_VALUE"""),822.0)</f>
        <v>822</v>
      </c>
      <c r="B823" s="6" t="str">
        <f>IFERROR(__xludf.DUMMYFUNCTION("""COMPUTED_VALUE"""),"DETERMINASI HARGA SAHAM PADA PERUSAHAAN SEKTOR TRANSPORTASI DAN LOGISTIK YANG TERDAFTAR DI BEI TAHUN 2021-2023")</f>
        <v>DETERMINASI HARGA SAHAM PADA PERUSAHAAN SEKTOR TRANSPORTASI DAN LOGISTIK YANG TERDAFTAR DI BEI TAHUN 2021-2023</v>
      </c>
      <c r="C823" s="7">
        <f>IFERROR(__xludf.DUMMYFUNCTION("""COMPUTED_VALUE"""),2024.0)</f>
        <v>2024</v>
      </c>
      <c r="D823" s="8" t="str">
        <f>IFERROR(__xludf.DUMMYFUNCTION("""COMPUTED_VALUE"""),"2023/2024")</f>
        <v>2023/2024</v>
      </c>
      <c r="E823" s="9">
        <f>IFERROR(__xludf.DUMMYFUNCTION("""COMPUTED_VALUE"""),45498.0)</f>
        <v>45498</v>
      </c>
      <c r="F823" s="5" t="str">
        <f>IFERROR(__xludf.DUMMYFUNCTION("""COMPUTED_VALUE"""),"Genap")</f>
        <v>Genap</v>
      </c>
      <c r="G823" s="5" t="str">
        <f>IFERROR(__xludf.DUMMYFUNCTION("""COMPUTED_VALUE"""),"Akuntansi")</f>
        <v>Akuntansi</v>
      </c>
      <c r="H823" s="10" t="str">
        <f>IFERROR(__xludf.DUMMYFUNCTION("""COMPUTED_VALUE"""),"Mahasiswa")</f>
        <v>Mahasiswa</v>
      </c>
      <c r="I823" s="6" t="str">
        <f>IFERROR(__xludf.DUMMYFUNCTION("""COMPUTED_VALUE"""),"Desta Aprilia Putri cantika")</f>
        <v>Desta Aprilia Putri cantika</v>
      </c>
      <c r="J823" s="6" t="str">
        <f>IFERROR(__xludf.DUMMYFUNCTION("""COMPUTED_VALUE"""),"Ismunawan")</f>
        <v>Ismunawan</v>
      </c>
      <c r="K823" s="6"/>
      <c r="L823" s="6"/>
      <c r="M823" s="6"/>
      <c r="N823" s="6"/>
      <c r="O823" s="6"/>
      <c r="P823" s="10" t="str">
        <f>IFERROR(__xludf.DUMMYFUNCTION("""COMPUTED_VALUE"""),"Desta Aprilia Putri cantika, Ismunawan")</f>
        <v>Desta Aprilia Putri cantika, Ismunawan</v>
      </c>
      <c r="Q823" s="11" t="str">
        <f>IFERROR(__xludf.DUMMYFUNCTION("""COMPUTED_VALUE"""),"https://ejurnal.stie-trianandra.ac.id/index.php/jumia/article/view/3230")</f>
        <v>https://ejurnal.stie-trianandra.ac.id/index.php/jumia/article/view/3230</v>
      </c>
      <c r="R823" s="6"/>
    </row>
    <row r="824">
      <c r="A824" s="5">
        <f>IFERROR(__xludf.DUMMYFUNCTION("""COMPUTED_VALUE"""),823.0)</f>
        <v>823</v>
      </c>
      <c r="B824" s="6" t="str">
        <f>IFERROR(__xludf.DUMMYFUNCTION("""COMPUTED_VALUE"""),"PENDAMPINGAN PEMBUATAN ARUS KAS SEDERHANA PADA KONVEKSI IBU SEMI DI POLOKARTO JAWA TENGAH (SUPPORT TO CREATE SIMPLE CASH FLOW IN CONVECTION IBU SEMI DI POLOKARTO JAWA TENGAH)")</f>
        <v>PENDAMPINGAN PEMBUATAN ARUS KAS SEDERHANA PADA KONVEKSI IBU SEMI DI POLOKARTO JAWA TENGAH (SUPPORT TO CREATE SIMPLE CASH FLOW IN CONVECTION IBU SEMI DI POLOKARTO JAWA TENGAH)</v>
      </c>
      <c r="C824" s="7">
        <f>IFERROR(__xludf.DUMMYFUNCTION("""COMPUTED_VALUE"""),2024.0)</f>
        <v>2024</v>
      </c>
      <c r="D824" s="8" t="str">
        <f>IFERROR(__xludf.DUMMYFUNCTION("""COMPUTED_VALUE"""),"2023/2024")</f>
        <v>2023/2024</v>
      </c>
      <c r="E824" s="9">
        <f>IFERROR(__xludf.DUMMYFUNCTION("""COMPUTED_VALUE"""),45498.0)</f>
        <v>45498</v>
      </c>
      <c r="F824" s="5" t="str">
        <f>IFERROR(__xludf.DUMMYFUNCTION("""COMPUTED_VALUE"""),"Genap")</f>
        <v>Genap</v>
      </c>
      <c r="G824" s="5" t="str">
        <f>IFERROR(__xludf.DUMMYFUNCTION("""COMPUTED_VALUE"""),"Manajemen")</f>
        <v>Manajemen</v>
      </c>
      <c r="H824" s="10" t="str">
        <f>IFERROR(__xludf.DUMMYFUNCTION("""COMPUTED_VALUE"""),"Dosen")</f>
        <v>Dosen</v>
      </c>
      <c r="I824" s="6" t="str">
        <f>IFERROR(__xludf.DUMMYFUNCTION("""COMPUTED_VALUE"""),"Ari Susanti")</f>
        <v>Ari Susanti</v>
      </c>
      <c r="J824" s="6" t="str">
        <f>IFERROR(__xludf.DUMMYFUNCTION("""COMPUTED_VALUE"""),"Era Trianita Saputra")</f>
        <v>Era Trianita Saputra</v>
      </c>
      <c r="K824" s="6" t="str">
        <f>IFERROR(__xludf.DUMMYFUNCTION("""COMPUTED_VALUE"""),"Dewi Ika Octavia")</f>
        <v>Dewi Ika Octavia</v>
      </c>
      <c r="L824" s="6" t="str">
        <f>IFERROR(__xludf.DUMMYFUNCTION("""COMPUTED_VALUE"""),"Rahandhika Ivan Adyaksana")</f>
        <v>Rahandhika Ivan Adyaksana</v>
      </c>
      <c r="M824" s="6" t="str">
        <f>IFERROR(__xludf.DUMMYFUNCTION("""COMPUTED_VALUE"""),"Budi Istiyanto")</f>
        <v>Budi Istiyanto</v>
      </c>
      <c r="N824" s="6"/>
      <c r="O824" s="6"/>
      <c r="P824" s="10"/>
      <c r="Q824" s="11" t="str">
        <f>IFERROR(__xludf.DUMMYFUNCTION("""COMPUTED_VALUE"""),"https://journal.upy.ac.id/index.php/lppm/article/view/6343")</f>
        <v>https://journal.upy.ac.id/index.php/lppm/article/view/6343</v>
      </c>
      <c r="R824" s="6"/>
    </row>
    <row r="825">
      <c r="A825" s="5">
        <f>IFERROR(__xludf.DUMMYFUNCTION("""COMPUTED_VALUE"""),824.0)</f>
        <v>824</v>
      </c>
      <c r="B825" s="6" t="str">
        <f>IFERROR(__xludf.DUMMYFUNCTION("""COMPUTED_VALUE"""),"Faktor-Faktor yang Mempengaruhi Kinerja Manajerial Pada Organisasi Perangkat Daerah di Kabupaten Boyolali")</f>
        <v>Faktor-Faktor yang Mempengaruhi Kinerja Manajerial Pada Organisasi Perangkat Daerah di Kabupaten Boyolali</v>
      </c>
      <c r="C825" s="7">
        <f>IFERROR(__xludf.DUMMYFUNCTION("""COMPUTED_VALUE"""),2024.0)</f>
        <v>2024</v>
      </c>
      <c r="D825" s="8" t="str">
        <f>IFERROR(__xludf.DUMMYFUNCTION("""COMPUTED_VALUE"""),"2023/2024")</f>
        <v>2023/2024</v>
      </c>
      <c r="E825" s="9">
        <f>IFERROR(__xludf.DUMMYFUNCTION("""COMPUTED_VALUE"""),45502.0)</f>
        <v>45502</v>
      </c>
      <c r="F825" s="5" t="str">
        <f>IFERROR(__xludf.DUMMYFUNCTION("""COMPUTED_VALUE"""),"Genap")</f>
        <v>Genap</v>
      </c>
      <c r="G825" s="5" t="str">
        <f>IFERROR(__xludf.DUMMYFUNCTION("""COMPUTED_VALUE"""),"Akuntansi")</f>
        <v>Akuntansi</v>
      </c>
      <c r="H825" s="10" t="str">
        <f>IFERROR(__xludf.DUMMYFUNCTION("""COMPUTED_VALUE"""),"Mahasiswa")</f>
        <v>Mahasiswa</v>
      </c>
      <c r="I825" s="6" t="str">
        <f>IFERROR(__xludf.DUMMYFUNCTION("""COMPUTED_VALUE"""),"Ninda Sekar Kusuma Wijaya")</f>
        <v>Ninda Sekar Kusuma Wijaya</v>
      </c>
      <c r="J825" s="6" t="str">
        <f>IFERROR(__xludf.DUMMYFUNCTION("""COMPUTED_VALUE"""),"Era Trianita Saputra")</f>
        <v>Era Trianita Saputra</v>
      </c>
      <c r="K825" s="6"/>
      <c r="L825" s="6"/>
      <c r="M825" s="6"/>
      <c r="N825" s="6"/>
      <c r="O825" s="6"/>
      <c r="P825" s="10" t="str">
        <f>IFERROR(__xludf.DUMMYFUNCTION("""COMPUTED_VALUE"""),"Ninda Sekar Kusuma Wijaya, Era Trianita Saputra")</f>
        <v>Ninda Sekar Kusuma Wijaya, Era Trianita Saputra</v>
      </c>
      <c r="Q825" s="11" t="str">
        <f>IFERROR(__xludf.DUMMYFUNCTION("""COMPUTED_VALUE"""),"https://ejurnal.politeknikpratama.ac.id/index.php/jekombis/article/view/4102")</f>
        <v>https://ejurnal.politeknikpratama.ac.id/index.php/jekombis/article/view/4102</v>
      </c>
      <c r="R825" s="6"/>
    </row>
    <row r="826">
      <c r="A826" s="5">
        <f>IFERROR(__xludf.DUMMYFUNCTION("""COMPUTED_VALUE"""),825.0)</f>
        <v>825</v>
      </c>
      <c r="B826" s="6" t="str">
        <f>IFERROR(__xludf.DUMMYFUNCTION("""COMPUTED_VALUE"""),"MENGUJI LEADERSHIP, REWARD, DAN PUNISHMENT TERHADAP EMPLOYEE PERFORMANCE")</f>
        <v>MENGUJI LEADERSHIP, REWARD, DAN PUNISHMENT TERHADAP EMPLOYEE PERFORMANCE</v>
      </c>
      <c r="C826" s="7">
        <f>IFERROR(__xludf.DUMMYFUNCTION("""COMPUTED_VALUE"""),2024.0)</f>
        <v>2024</v>
      </c>
      <c r="D826" s="8" t="str">
        <f>IFERROR(__xludf.DUMMYFUNCTION("""COMPUTED_VALUE"""),"2023/2024")</f>
        <v>2023/2024</v>
      </c>
      <c r="E826" s="9">
        <f>IFERROR(__xludf.DUMMYFUNCTION("""COMPUTED_VALUE"""),45503.0)</f>
        <v>45503</v>
      </c>
      <c r="F826" s="5" t="str">
        <f>IFERROR(__xludf.DUMMYFUNCTION("""COMPUTED_VALUE"""),"Genap")</f>
        <v>Genap</v>
      </c>
      <c r="G826" s="5" t="str">
        <f>IFERROR(__xludf.DUMMYFUNCTION("""COMPUTED_VALUE"""),"Manajemen")</f>
        <v>Manajemen</v>
      </c>
      <c r="H826" s="10" t="str">
        <f>IFERROR(__xludf.DUMMYFUNCTION("""COMPUTED_VALUE"""),"Dosen")</f>
        <v>Dosen</v>
      </c>
      <c r="I826" s="6" t="str">
        <f>IFERROR(__xludf.DUMMYFUNCTION("""COMPUTED_VALUE"""),"Muhammad Jalari")</f>
        <v>Muhammad Jalari</v>
      </c>
      <c r="J826" s="6" t="str">
        <f>IFERROR(__xludf.DUMMYFUNCTION("""COMPUTED_VALUE"""),"Arif Nugroho Rachman")</f>
        <v>Arif Nugroho Rachman</v>
      </c>
      <c r="K826" s="6"/>
      <c r="L826" s="6"/>
      <c r="M826" s="6"/>
      <c r="N826" s="6"/>
      <c r="O826" s="6"/>
      <c r="P826" s="10"/>
      <c r="Q826" s="11" t="str">
        <f>IFERROR(__xludf.DUMMYFUNCTION("""COMPUTED_VALUE"""),"https://jurnalintelektiva.com/index.php/jurnal/article/view/1088")</f>
        <v>https://jurnalintelektiva.com/index.php/jurnal/article/view/1088</v>
      </c>
      <c r="R826" s="6"/>
    </row>
    <row r="827">
      <c r="A827" s="5">
        <f>IFERROR(__xludf.DUMMYFUNCTION("""COMPUTED_VALUE"""),826.0)</f>
        <v>826</v>
      </c>
      <c r="B827" s="6" t="str">
        <f>IFERROR(__xludf.DUMMYFUNCTION("""COMPUTED_VALUE"""),"Pengaruh Pengawasan Kerja, Pelatihan dan Reward Terhadap Kinerja Karyawan PT. Danliris Divisi Persiapan")</f>
        <v>Pengaruh Pengawasan Kerja, Pelatihan dan Reward Terhadap Kinerja Karyawan PT. Danliris Divisi Persiapan</v>
      </c>
      <c r="C827" s="7">
        <f>IFERROR(__xludf.DUMMYFUNCTION("""COMPUTED_VALUE"""),2024.0)</f>
        <v>2024</v>
      </c>
      <c r="D827" s="8" t="str">
        <f>IFERROR(__xludf.DUMMYFUNCTION("""COMPUTED_VALUE"""),"2023/2024")</f>
        <v>2023/2024</v>
      </c>
      <c r="E827" s="9">
        <f>IFERROR(__xludf.DUMMYFUNCTION("""COMPUTED_VALUE"""),45504.0)</f>
        <v>45504</v>
      </c>
      <c r="F827" s="5" t="str">
        <f>IFERROR(__xludf.DUMMYFUNCTION("""COMPUTED_VALUE"""),"Genap")</f>
        <v>Genap</v>
      </c>
      <c r="G827" s="5" t="str">
        <f>IFERROR(__xludf.DUMMYFUNCTION("""COMPUTED_VALUE"""),"Manajemen")</f>
        <v>Manajemen</v>
      </c>
      <c r="H827" s="10" t="str">
        <f>IFERROR(__xludf.DUMMYFUNCTION("""COMPUTED_VALUE"""),"Mahasiswa")</f>
        <v>Mahasiswa</v>
      </c>
      <c r="I827" s="6" t="str">
        <f>IFERROR(__xludf.DUMMYFUNCTION("""COMPUTED_VALUE"""),"Zulfita Devy")</f>
        <v>Zulfita Devy</v>
      </c>
      <c r="J827" s="6" t="str">
        <f>IFERROR(__xludf.DUMMYFUNCTION("""COMPUTED_VALUE"""),"Aditya Liliyan")</f>
        <v>Aditya Liliyan</v>
      </c>
      <c r="K827" s="6"/>
      <c r="L827" s="6"/>
      <c r="M827" s="6"/>
      <c r="N827" s="6"/>
      <c r="O827" s="6"/>
      <c r="P827" s="10" t="str">
        <f>IFERROR(__xludf.DUMMYFUNCTION("""COMPUTED_VALUE"""),"Zulfita Devy, Aditya Liliyan")</f>
        <v>Zulfita Devy, Aditya Liliyan</v>
      </c>
      <c r="Q827" s="11" t="str">
        <f>IFERROR(__xludf.DUMMYFUNCTION("""COMPUTED_VALUE"""),"https://repository.stiesurakarta.ac.id/submission/2efbc432-406d-4cd6-9051-bf3f0d1318d5")</f>
        <v>https://repository.stiesurakarta.ac.id/submission/2efbc432-406d-4cd6-9051-bf3f0d1318d5</v>
      </c>
      <c r="R827" s="6"/>
    </row>
    <row r="828">
      <c r="A828" s="5">
        <f>IFERROR(__xludf.DUMMYFUNCTION("""COMPUTED_VALUE"""),827.0)</f>
        <v>827</v>
      </c>
      <c r="B828" s="6" t="str">
        <f>IFERROR(__xludf.DUMMYFUNCTION("""COMPUTED_VALUE"""),"Pengaruh Leverage, Profitabilitas, Ukuran Perusahaan, Investment Opportunity Set (IOS), dan Kepemilikan Institusional Terhadap Kualitas Laba Pada Perusahaan Food and Beverage")</f>
        <v>Pengaruh Leverage, Profitabilitas, Ukuran Perusahaan, Investment Opportunity Set (IOS), dan Kepemilikan Institusional Terhadap Kualitas Laba Pada Perusahaan Food and Beverage</v>
      </c>
      <c r="C828" s="7">
        <f>IFERROR(__xludf.DUMMYFUNCTION("""COMPUTED_VALUE"""),2024.0)</f>
        <v>2024</v>
      </c>
      <c r="D828" s="8" t="str">
        <f>IFERROR(__xludf.DUMMYFUNCTION("""COMPUTED_VALUE"""),"2023/2024")</f>
        <v>2023/2024</v>
      </c>
      <c r="E828" s="9">
        <f>IFERROR(__xludf.DUMMYFUNCTION("""COMPUTED_VALUE"""),45504.0)</f>
        <v>45504</v>
      </c>
      <c r="F828" s="5" t="str">
        <f>IFERROR(__xludf.DUMMYFUNCTION("""COMPUTED_VALUE"""),"Genap")</f>
        <v>Genap</v>
      </c>
      <c r="G828" s="5" t="str">
        <f>IFERROR(__xludf.DUMMYFUNCTION("""COMPUTED_VALUE"""),"Akuntansi")</f>
        <v>Akuntansi</v>
      </c>
      <c r="H828" s="10" t="str">
        <f>IFERROR(__xludf.DUMMYFUNCTION("""COMPUTED_VALUE"""),"Mahasiswa")</f>
        <v>Mahasiswa</v>
      </c>
      <c r="I828" s="6" t="str">
        <f>IFERROR(__xludf.DUMMYFUNCTION("""COMPUTED_VALUE"""),"Iyan Dwi Setiyanto")</f>
        <v>Iyan Dwi Setiyanto</v>
      </c>
      <c r="J828" s="6" t="str">
        <f>IFERROR(__xludf.DUMMYFUNCTION("""COMPUTED_VALUE"""),"Era Trianita Saputra")</f>
        <v>Era Trianita Saputra</v>
      </c>
      <c r="K828" s="6"/>
      <c r="L828" s="6"/>
      <c r="M828" s="6"/>
      <c r="N828" s="6"/>
      <c r="O828" s="6"/>
      <c r="P828" s="10" t="str">
        <f>IFERROR(__xludf.DUMMYFUNCTION("""COMPUTED_VALUE"""),"Iyan Dwi Setiyanto, Era Trianita Saputra")</f>
        <v>Iyan Dwi Setiyanto, Era Trianita Saputra</v>
      </c>
      <c r="Q828" s="11" t="str">
        <f>IFERROR(__xludf.DUMMYFUNCTION("""COMPUTED_VALUE"""),"https://repository.stiesurakarta.ac.id/submission/37b41e77-73d6-4f50-b115-013bf95ec0f8")</f>
        <v>https://repository.stiesurakarta.ac.id/submission/37b41e77-73d6-4f50-b115-013bf95ec0f8</v>
      </c>
      <c r="R828" s="6"/>
    </row>
    <row r="829">
      <c r="A829" s="5">
        <f>IFERROR(__xludf.DUMMYFUNCTION("""COMPUTED_VALUE"""),828.0)</f>
        <v>828</v>
      </c>
      <c r="B829" s="6" t="str">
        <f>IFERROR(__xludf.DUMMYFUNCTION("""COMPUTED_VALUE"""),"ANALISIS PENGARUH STRATEGI PROMOSI, BRAND IMAGE, DAN SECURITY TERHADAP KEPUTUSAN PENGGUNAAN GOPAY DI SOLO RAYA")</f>
        <v>ANALISIS PENGARUH STRATEGI PROMOSI, BRAND IMAGE, DAN SECURITY TERHADAP KEPUTUSAN PENGGUNAAN GOPAY DI SOLO RAYA</v>
      </c>
      <c r="C829" s="7">
        <f>IFERROR(__xludf.DUMMYFUNCTION("""COMPUTED_VALUE"""),2024.0)</f>
        <v>2024</v>
      </c>
      <c r="D829" s="8" t="str">
        <f>IFERROR(__xludf.DUMMYFUNCTION("""COMPUTED_VALUE"""),"2023/2024")</f>
        <v>2023/2024</v>
      </c>
      <c r="E829" s="9">
        <f>IFERROR(__xludf.DUMMYFUNCTION("""COMPUTED_VALUE"""),45509.0)</f>
        <v>45509</v>
      </c>
      <c r="F829" s="5" t="str">
        <f>IFERROR(__xludf.DUMMYFUNCTION("""COMPUTED_VALUE"""),"Genap")</f>
        <v>Genap</v>
      </c>
      <c r="G829" s="5" t="str">
        <f>IFERROR(__xludf.DUMMYFUNCTION("""COMPUTED_VALUE"""),"Manajemen")</f>
        <v>Manajemen</v>
      </c>
      <c r="H829" s="10" t="str">
        <f>IFERROR(__xludf.DUMMYFUNCTION("""COMPUTED_VALUE"""),"Mahasiswa")</f>
        <v>Mahasiswa</v>
      </c>
      <c r="I829" s="6" t="str">
        <f>IFERROR(__xludf.DUMMYFUNCTION("""COMPUTED_VALUE"""),"Ahmad Rifanda pangestu")</f>
        <v>Ahmad Rifanda pangestu</v>
      </c>
      <c r="J829" s="6" t="str">
        <f>IFERROR(__xludf.DUMMYFUNCTION("""COMPUTED_VALUE"""),"Budi Istiyanto")</f>
        <v>Budi Istiyanto</v>
      </c>
      <c r="K829" s="6"/>
      <c r="L829" s="6"/>
      <c r="M829" s="6"/>
      <c r="N829" s="6"/>
      <c r="O829" s="6"/>
      <c r="P829" s="10" t="str">
        <f>IFERROR(__xludf.DUMMYFUNCTION("""COMPUTED_VALUE"""),"Ahmad Rifanda pangestu, Budi Istiyanto")</f>
        <v>Ahmad Rifanda pangestu, Budi Istiyanto</v>
      </c>
      <c r="Q829" s="11" t="str">
        <f>IFERROR(__xludf.DUMMYFUNCTION("""COMPUTED_VALUE"""),"https://ejournal.warunayama.org/index.php/musytarineraca/article/view/5042")</f>
        <v>https://ejournal.warunayama.org/index.php/musytarineraca/article/view/5042</v>
      </c>
      <c r="R829" s="6"/>
    </row>
    <row r="830">
      <c r="A830" s="5">
        <f>IFERROR(__xludf.DUMMYFUNCTION("""COMPUTED_VALUE"""),829.0)</f>
        <v>829</v>
      </c>
      <c r="B830" s="6" t="str">
        <f>IFERROR(__xludf.DUMMYFUNCTION("""COMPUTED_VALUE"""),"PERILAKU KEUANGAN MAHASISWA: PENDAPATAN, LIFE STYLE, DAN LOCUS OF CONTROL PADA MAHASISWA STIE SURAKARTA")</f>
        <v>PERILAKU KEUANGAN MAHASISWA: PENDAPATAN, LIFE STYLE, DAN LOCUS OF CONTROL PADA MAHASISWA STIE SURAKARTA</v>
      </c>
      <c r="C830" s="7">
        <f>IFERROR(__xludf.DUMMYFUNCTION("""COMPUTED_VALUE"""),2024.0)</f>
        <v>2024</v>
      </c>
      <c r="D830" s="8" t="str">
        <f>IFERROR(__xludf.DUMMYFUNCTION("""COMPUTED_VALUE"""),"2023/2024")</f>
        <v>2023/2024</v>
      </c>
      <c r="E830" s="9">
        <f>IFERROR(__xludf.DUMMYFUNCTION("""COMPUTED_VALUE"""),45509.0)</f>
        <v>45509</v>
      </c>
      <c r="F830" s="5" t="str">
        <f>IFERROR(__xludf.DUMMYFUNCTION("""COMPUTED_VALUE"""),"Genap")</f>
        <v>Genap</v>
      </c>
      <c r="G830" s="5" t="str">
        <f>IFERROR(__xludf.DUMMYFUNCTION("""COMPUTED_VALUE"""),"Manajemen")</f>
        <v>Manajemen</v>
      </c>
      <c r="H830" s="10" t="str">
        <f>IFERROR(__xludf.DUMMYFUNCTION("""COMPUTED_VALUE"""),"Dosen")</f>
        <v>Dosen</v>
      </c>
      <c r="I830" s="6" t="str">
        <f>IFERROR(__xludf.DUMMYFUNCTION("""COMPUTED_VALUE"""),"Ari Susanti")</f>
        <v>Ari Susanti</v>
      </c>
      <c r="J830" s="6" t="str">
        <f>IFERROR(__xludf.DUMMYFUNCTION("""COMPUTED_VALUE"""),"Nisa Musyarifatillah")</f>
        <v>Nisa Musyarifatillah</v>
      </c>
      <c r="K830" s="6" t="str">
        <f>IFERROR(__xludf.DUMMYFUNCTION("""COMPUTED_VALUE"""),"Rikah")</f>
        <v>Rikah</v>
      </c>
      <c r="L830" s="6"/>
      <c r="M830" s="6"/>
      <c r="N830" s="6"/>
      <c r="O830" s="6"/>
      <c r="P830" s="10"/>
      <c r="Q830" s="11" t="str">
        <f>IFERROR(__xludf.DUMMYFUNCTION("""COMPUTED_VALUE"""),"https://journal.uyr.ac.id/index.php/BBM/article/view/713")</f>
        <v>https://journal.uyr.ac.id/index.php/BBM/article/view/713</v>
      </c>
      <c r="R830" s="6"/>
    </row>
    <row r="831">
      <c r="A831" s="5">
        <f>IFERROR(__xludf.DUMMYFUNCTION("""COMPUTED_VALUE"""),830.0)</f>
        <v>830</v>
      </c>
      <c r="B831" s="6" t="str">
        <f>IFERROR(__xludf.DUMMYFUNCTION("""COMPUTED_VALUE"""),"Analisis Penerapan ISAK No.35 Laporan Keuangan Entitas Non Laba Pada Masjid Agung Surakarta")</f>
        <v>Analisis Penerapan ISAK No.35 Laporan Keuangan Entitas Non Laba Pada Masjid Agung Surakarta</v>
      </c>
      <c r="C831" s="7">
        <f>IFERROR(__xludf.DUMMYFUNCTION("""COMPUTED_VALUE"""),2024.0)</f>
        <v>2024</v>
      </c>
      <c r="D831" s="8" t="str">
        <f>IFERROR(__xludf.DUMMYFUNCTION("""COMPUTED_VALUE"""),"2023/2024")</f>
        <v>2023/2024</v>
      </c>
      <c r="E831" s="9">
        <f>IFERROR(__xludf.DUMMYFUNCTION("""COMPUTED_VALUE"""),45510.0)</f>
        <v>45510</v>
      </c>
      <c r="F831" s="5" t="str">
        <f>IFERROR(__xludf.DUMMYFUNCTION("""COMPUTED_VALUE"""),"Genap")</f>
        <v>Genap</v>
      </c>
      <c r="G831" s="5" t="str">
        <f>IFERROR(__xludf.DUMMYFUNCTION("""COMPUTED_VALUE"""),"Manajemen")</f>
        <v>Manajemen</v>
      </c>
      <c r="H831" s="10" t="str">
        <f>IFERROR(__xludf.DUMMYFUNCTION("""COMPUTED_VALUE"""),"Mahasiswa")</f>
        <v>Mahasiswa</v>
      </c>
      <c r="I831" s="6" t="str">
        <f>IFERROR(__xludf.DUMMYFUNCTION("""COMPUTED_VALUE"""),"Rizka Ummu Fadhilah")</f>
        <v>Rizka Ummu Fadhilah</v>
      </c>
      <c r="J831" s="6" t="str">
        <f>IFERROR(__xludf.DUMMYFUNCTION("""COMPUTED_VALUE"""),"Ari Susanti")</f>
        <v>Ari Susanti</v>
      </c>
      <c r="K831" s="6"/>
      <c r="L831" s="6"/>
      <c r="M831" s="6"/>
      <c r="N831" s="6"/>
      <c r="O831" s="6"/>
      <c r="P831" s="10" t="str">
        <f>IFERROR(__xludf.DUMMYFUNCTION("""COMPUTED_VALUE"""),"Rizka Ummu Fadhilah, Ari Susanti")</f>
        <v>Rizka Ummu Fadhilah, Ari Susanti</v>
      </c>
      <c r="Q831" s="11" t="str">
        <f>IFERROR(__xludf.DUMMYFUNCTION("""COMPUTED_VALUE"""),"https://journal.unimar-amni.ac.id/index.php/EBISMEN/article/view/2427")</f>
        <v>https://journal.unimar-amni.ac.id/index.php/EBISMEN/article/view/2427</v>
      </c>
      <c r="R831" s="6"/>
    </row>
    <row r="832">
      <c r="A832" s="5">
        <f>IFERROR(__xludf.DUMMYFUNCTION("""COMPUTED_VALUE"""),831.0)</f>
        <v>831</v>
      </c>
      <c r="B832" s="6" t="str">
        <f>IFERROR(__xludf.DUMMYFUNCTION("""COMPUTED_VALUE"""),"ANALISA PENGARUH PENGGUNAAN SISTEM INFORMASI AKUNTANSI PADA UMKM DI KECAMATAN PURWANTORO")</f>
        <v>ANALISA PENGARUH PENGGUNAAN SISTEM INFORMASI AKUNTANSI PADA UMKM DI KECAMATAN PURWANTORO</v>
      </c>
      <c r="C832" s="7">
        <f>IFERROR(__xludf.DUMMYFUNCTION("""COMPUTED_VALUE"""),2024.0)</f>
        <v>2024</v>
      </c>
      <c r="D832" s="8" t="str">
        <f>IFERROR(__xludf.DUMMYFUNCTION("""COMPUTED_VALUE"""),"2023/2024")</f>
        <v>2023/2024</v>
      </c>
      <c r="E832" s="9">
        <f>IFERROR(__xludf.DUMMYFUNCTION("""COMPUTED_VALUE"""),45513.0)</f>
        <v>45513</v>
      </c>
      <c r="F832" s="5" t="str">
        <f>IFERROR(__xludf.DUMMYFUNCTION("""COMPUTED_VALUE"""),"Genap")</f>
        <v>Genap</v>
      </c>
      <c r="G832" s="5" t="str">
        <f>IFERROR(__xludf.DUMMYFUNCTION("""COMPUTED_VALUE"""),"Akuntansi")</f>
        <v>Akuntansi</v>
      </c>
      <c r="H832" s="10" t="str">
        <f>IFERROR(__xludf.DUMMYFUNCTION("""COMPUTED_VALUE"""),"Dosen")</f>
        <v>Dosen</v>
      </c>
      <c r="I832" s="6" t="str">
        <f>IFERROR(__xludf.DUMMYFUNCTION("""COMPUTED_VALUE"""),"Arif Nugroho Rachman")</f>
        <v>Arif Nugroho Rachman</v>
      </c>
      <c r="J832" s="6"/>
      <c r="K832" s="6"/>
      <c r="L832" s="6"/>
      <c r="M832" s="6"/>
      <c r="N832" s="6"/>
      <c r="O832" s="6"/>
      <c r="P832" s="10"/>
      <c r="Q832" s="11" t="str">
        <f>IFERROR(__xludf.DUMMYFUNCTION("""COMPUTED_VALUE"""),"https://bajangjournal.com/index.php/JEMBA/article/view/8488")</f>
        <v>https://bajangjournal.com/index.php/JEMBA/article/view/8488</v>
      </c>
      <c r="R832" s="6"/>
    </row>
    <row r="833">
      <c r="A833" s="5">
        <f>IFERROR(__xludf.DUMMYFUNCTION("""COMPUTED_VALUE"""),832.0)</f>
        <v>832</v>
      </c>
      <c r="B833" s="6" t="str">
        <f>IFERROR(__xludf.DUMMYFUNCTION("""COMPUTED_VALUE"""),"ANALISIS KEBIJAKAN DIVIDEN PADA PERUSAHAAN TRANSPORTASI DI BEI SELAMA PERIODE TAHUN 2017-2020")</f>
        <v>ANALISIS KEBIJAKAN DIVIDEN PADA PERUSAHAAN TRANSPORTASI DI BEI SELAMA PERIODE TAHUN 2017-2020</v>
      </c>
      <c r="C833" s="7">
        <f>IFERROR(__xludf.DUMMYFUNCTION("""COMPUTED_VALUE"""),2024.0)</f>
        <v>2024</v>
      </c>
      <c r="D833" s="8" t="str">
        <f>IFERROR(__xludf.DUMMYFUNCTION("""COMPUTED_VALUE"""),"2023/2024")</f>
        <v>2023/2024</v>
      </c>
      <c r="E833" s="9">
        <f>IFERROR(__xludf.DUMMYFUNCTION("""COMPUTED_VALUE"""),45516.0)</f>
        <v>45516</v>
      </c>
      <c r="F833" s="5" t="str">
        <f>IFERROR(__xludf.DUMMYFUNCTION("""COMPUTED_VALUE"""),"Genap")</f>
        <v>Genap</v>
      </c>
      <c r="G833" s="5" t="str">
        <f>IFERROR(__xludf.DUMMYFUNCTION("""COMPUTED_VALUE"""),"Akuntansi")</f>
        <v>Akuntansi</v>
      </c>
      <c r="H833" s="10" t="str">
        <f>IFERROR(__xludf.DUMMYFUNCTION("""COMPUTED_VALUE"""),"Mahasiswa")</f>
        <v>Mahasiswa</v>
      </c>
      <c r="I833" s="6" t="str">
        <f>IFERROR(__xludf.DUMMYFUNCTION("""COMPUTED_VALUE"""),"Hari Tri Saputro")</f>
        <v>Hari Tri Saputro</v>
      </c>
      <c r="J833" s="6" t="str">
        <f>IFERROR(__xludf.DUMMYFUNCTION("""COMPUTED_VALUE"""),"Era Trianita Saputra")</f>
        <v>Era Trianita Saputra</v>
      </c>
      <c r="K833" s="6"/>
      <c r="L833" s="6"/>
      <c r="M833" s="6"/>
      <c r="N833" s="6"/>
      <c r="O833" s="6"/>
      <c r="P833" s="10" t="str">
        <f>IFERROR(__xludf.DUMMYFUNCTION("""COMPUTED_VALUE"""),"Hari Tri Saputro, Era Trianita Saputra")</f>
        <v>Hari Tri Saputro, Era Trianita Saputra</v>
      </c>
      <c r="Q833" s="11" t="str">
        <f>IFERROR(__xludf.DUMMYFUNCTION("""COMPUTED_VALUE"""),"https://repository.stiesurakarta.ac.id/submission/61c9fecc-8728-4574-95a5-d665bda3455e")</f>
        <v>https://repository.stiesurakarta.ac.id/submission/61c9fecc-8728-4574-95a5-d665bda3455e</v>
      </c>
      <c r="R833" s="6"/>
    </row>
    <row r="834">
      <c r="A834" s="5">
        <f>IFERROR(__xludf.DUMMYFUNCTION("""COMPUTED_VALUE"""),833.0)</f>
        <v>833</v>
      </c>
      <c r="B834" s="6" t="str">
        <f>IFERROR(__xludf.DUMMYFUNCTION("""COMPUTED_VALUE"""),"Determinan Pengambilan Keputusan Berwirausaha pada Mahasiswa Akuntansi STIE Surakarta")</f>
        <v>Determinan Pengambilan Keputusan Berwirausaha pada Mahasiswa Akuntansi STIE Surakarta</v>
      </c>
      <c r="C834" s="7">
        <f>IFERROR(__xludf.DUMMYFUNCTION("""COMPUTED_VALUE"""),2024.0)</f>
        <v>2024</v>
      </c>
      <c r="D834" s="8" t="str">
        <f>IFERROR(__xludf.DUMMYFUNCTION("""COMPUTED_VALUE"""),"2023/2024")</f>
        <v>2023/2024</v>
      </c>
      <c r="E834" s="9">
        <f>IFERROR(__xludf.DUMMYFUNCTION("""COMPUTED_VALUE"""),45517.0)</f>
        <v>45517</v>
      </c>
      <c r="F834" s="5" t="str">
        <f>IFERROR(__xludf.DUMMYFUNCTION("""COMPUTED_VALUE"""),"Genap")</f>
        <v>Genap</v>
      </c>
      <c r="G834" s="5" t="str">
        <f>IFERROR(__xludf.DUMMYFUNCTION("""COMPUTED_VALUE"""),"Akuntansi")</f>
        <v>Akuntansi</v>
      </c>
      <c r="H834" s="10" t="str">
        <f>IFERROR(__xludf.DUMMYFUNCTION("""COMPUTED_VALUE"""),"Mahasiswa")</f>
        <v>Mahasiswa</v>
      </c>
      <c r="I834" s="6" t="str">
        <f>IFERROR(__xludf.DUMMYFUNCTION("""COMPUTED_VALUE"""),"Oktavia Dwi Kusumaningrum")</f>
        <v>Oktavia Dwi Kusumaningrum</v>
      </c>
      <c r="J834" s="6" t="str">
        <f>IFERROR(__xludf.DUMMYFUNCTION("""COMPUTED_VALUE"""),"Ismunawan")</f>
        <v>Ismunawan</v>
      </c>
      <c r="K834" s="6"/>
      <c r="L834" s="6"/>
      <c r="M834" s="6"/>
      <c r="N834" s="6"/>
      <c r="O834" s="6"/>
      <c r="P834" s="10" t="str">
        <f>IFERROR(__xludf.DUMMYFUNCTION("""COMPUTED_VALUE"""),"Oktavia Dwi Kusumaningrum, Ismunawan")</f>
        <v>Oktavia Dwi Kusumaningrum, Ismunawan</v>
      </c>
      <c r="Q834" s="11" t="str">
        <f>IFERROR(__xludf.DUMMYFUNCTION("""COMPUTED_VALUE"""),"https://jurnaluniv45sby.ac.id/index.php/Inisiatif/article/view/3081")</f>
        <v>https://jurnaluniv45sby.ac.id/index.php/Inisiatif/article/view/3081</v>
      </c>
      <c r="R834" s="6"/>
    </row>
    <row r="835">
      <c r="A835" s="5">
        <f>IFERROR(__xludf.DUMMYFUNCTION("""COMPUTED_VALUE"""),834.0)</f>
        <v>834</v>
      </c>
      <c r="B835" s="6" t="str">
        <f>IFERROR(__xludf.DUMMYFUNCTION("""COMPUTED_VALUE"""),"Pengaruh Modal, Lokasi Usaha Pemanfaatan E-Commerce Terhadap Pendapatan UMKM Kecamatan Pasar Kliwon Kota Surakarta")</f>
        <v>Pengaruh Modal, Lokasi Usaha Pemanfaatan E-Commerce Terhadap Pendapatan UMKM Kecamatan Pasar Kliwon Kota Surakarta</v>
      </c>
      <c r="C835" s="7">
        <f>IFERROR(__xludf.DUMMYFUNCTION("""COMPUTED_VALUE"""),2024.0)</f>
        <v>2024</v>
      </c>
      <c r="D835" s="8" t="str">
        <f>IFERROR(__xludf.DUMMYFUNCTION("""COMPUTED_VALUE"""),"2023/2024")</f>
        <v>2023/2024</v>
      </c>
      <c r="E835" s="9">
        <f>IFERROR(__xludf.DUMMYFUNCTION("""COMPUTED_VALUE"""),45517.0)</f>
        <v>45517</v>
      </c>
      <c r="F835" s="5" t="str">
        <f>IFERROR(__xludf.DUMMYFUNCTION("""COMPUTED_VALUE"""),"Genap")</f>
        <v>Genap</v>
      </c>
      <c r="G835" s="5" t="str">
        <f>IFERROR(__xludf.DUMMYFUNCTION("""COMPUTED_VALUE"""),"Manajemen")</f>
        <v>Manajemen</v>
      </c>
      <c r="H835" s="10" t="str">
        <f>IFERROR(__xludf.DUMMYFUNCTION("""COMPUTED_VALUE"""),"Mahasiswa")</f>
        <v>Mahasiswa</v>
      </c>
      <c r="I835" s="6" t="str">
        <f>IFERROR(__xludf.DUMMYFUNCTION("""COMPUTED_VALUE"""),"Lintang Ayu Kusumawardhani")</f>
        <v>Lintang Ayu Kusumawardhani</v>
      </c>
      <c r="J835" s="6" t="str">
        <f>IFERROR(__xludf.DUMMYFUNCTION("""COMPUTED_VALUE"""),"Ari Susanti")</f>
        <v>Ari Susanti</v>
      </c>
      <c r="K835" s="6"/>
      <c r="L835" s="6"/>
      <c r="M835" s="6"/>
      <c r="N835" s="6"/>
      <c r="O835" s="6"/>
      <c r="P835" s="10" t="str">
        <f>IFERROR(__xludf.DUMMYFUNCTION("""COMPUTED_VALUE"""),"Lintang Ayu Kusumawardhani, Ari Susanti")</f>
        <v>Lintang Ayu Kusumawardhani, Ari Susanti</v>
      </c>
      <c r="Q835" s="11" t="str">
        <f>IFERROR(__xludf.DUMMYFUNCTION("""COMPUTED_VALUE"""),"https://repository.stiesurakarta.ac.id/submission/50bb348e-8b77-4cba-bef3-edb6dd00274a")</f>
        <v>https://repository.stiesurakarta.ac.id/submission/50bb348e-8b77-4cba-bef3-edb6dd00274a</v>
      </c>
      <c r="R835" s="6"/>
    </row>
    <row r="836">
      <c r="A836" s="5">
        <f>IFERROR(__xludf.DUMMYFUNCTION("""COMPUTED_VALUE"""),835.0)</f>
        <v>835</v>
      </c>
      <c r="B836" s="6" t="str">
        <f>IFERROR(__xludf.DUMMYFUNCTION("""COMPUTED_VALUE"""),"Pengaruh Pengetahuan Sumber Daya Manusia, Implementasi Sistem Keuangan Desa (Siskeudes) dan Sistem Pengendalian Internal terhadap Kualitas Penyajian Laporan Keuangan Desa (Studi Kasus pada Pemerintah Desa di Kasbupaten Sukoharjo)")</f>
        <v>Pengaruh Pengetahuan Sumber Daya Manusia, Implementasi Sistem Keuangan Desa (Siskeudes) dan Sistem Pengendalian Internal terhadap Kualitas Penyajian Laporan Keuangan Desa (Studi Kasus pada Pemerintah Desa di Kasbupaten Sukoharjo)</v>
      </c>
      <c r="C836" s="7">
        <f>IFERROR(__xludf.DUMMYFUNCTION("""COMPUTED_VALUE"""),2024.0)</f>
        <v>2024</v>
      </c>
      <c r="D836" s="8" t="str">
        <f>IFERROR(__xludf.DUMMYFUNCTION("""COMPUTED_VALUE"""),"2023/2024")</f>
        <v>2023/2024</v>
      </c>
      <c r="E836" s="9">
        <f>IFERROR(__xludf.DUMMYFUNCTION("""COMPUTED_VALUE"""),45519.0)</f>
        <v>45519</v>
      </c>
      <c r="F836" s="5" t="str">
        <f>IFERROR(__xludf.DUMMYFUNCTION("""COMPUTED_VALUE"""),"Genap")</f>
        <v>Genap</v>
      </c>
      <c r="G836" s="5" t="str">
        <f>IFERROR(__xludf.DUMMYFUNCTION("""COMPUTED_VALUE"""),"Akuntansi")</f>
        <v>Akuntansi</v>
      </c>
      <c r="H836" s="10" t="str">
        <f>IFERROR(__xludf.DUMMYFUNCTION("""COMPUTED_VALUE"""),"Mahasiswa")</f>
        <v>Mahasiswa</v>
      </c>
      <c r="I836" s="6" t="str">
        <f>IFERROR(__xludf.DUMMYFUNCTION("""COMPUTED_VALUE"""),"Bunga Nisa Isnaini")</f>
        <v>Bunga Nisa Isnaini</v>
      </c>
      <c r="J836" s="6" t="str">
        <f>IFERROR(__xludf.DUMMYFUNCTION("""COMPUTED_VALUE"""),"Era Trianita Saputra")</f>
        <v>Era Trianita Saputra</v>
      </c>
      <c r="K836" s="6"/>
      <c r="L836" s="6"/>
      <c r="M836" s="6"/>
      <c r="N836" s="6"/>
      <c r="O836" s="6"/>
      <c r="P836" s="10" t="str">
        <f>IFERROR(__xludf.DUMMYFUNCTION("""COMPUTED_VALUE"""),"Bunga Nisa Isnaini, Era Trianita Saputra")</f>
        <v>Bunga Nisa Isnaini, Era Trianita Saputra</v>
      </c>
      <c r="Q836" s="11" t="str">
        <f>IFERROR(__xludf.DUMMYFUNCTION("""COMPUTED_VALUE"""),"https://journal.areai.or.id/index.php/SANTRI/article/view/844")</f>
        <v>https://journal.areai.or.id/index.php/SANTRI/article/view/844</v>
      </c>
      <c r="R836" s="6"/>
    </row>
    <row r="837">
      <c r="A837" s="5">
        <f>IFERROR(__xludf.DUMMYFUNCTION("""COMPUTED_VALUE"""),836.0)</f>
        <v>836</v>
      </c>
      <c r="B837" s="6" t="str">
        <f>IFERROR(__xludf.DUMMYFUNCTION("""COMPUTED_VALUE"""),"Pengaruh Literasi Keuangan, Gaya Hidup dan Pendidikan Keuangan di Dalam Keluarga Terhadap Pengelolaan Keuangan Mahasiswa STIE Surakarta")</f>
        <v>Pengaruh Literasi Keuangan, Gaya Hidup dan Pendidikan Keuangan di Dalam Keluarga Terhadap Pengelolaan Keuangan Mahasiswa STIE Surakarta</v>
      </c>
      <c r="C837" s="7">
        <f>IFERROR(__xludf.DUMMYFUNCTION("""COMPUTED_VALUE"""),2024.0)</f>
        <v>2024</v>
      </c>
      <c r="D837" s="8" t="str">
        <f>IFERROR(__xludf.DUMMYFUNCTION("""COMPUTED_VALUE"""),"2023/2024")</f>
        <v>2023/2024</v>
      </c>
      <c r="E837" s="9">
        <f>IFERROR(__xludf.DUMMYFUNCTION("""COMPUTED_VALUE"""),45520.0)</f>
        <v>45520</v>
      </c>
      <c r="F837" s="5" t="str">
        <f>IFERROR(__xludf.DUMMYFUNCTION("""COMPUTED_VALUE"""),"Genap")</f>
        <v>Genap</v>
      </c>
      <c r="G837" s="5" t="str">
        <f>IFERROR(__xludf.DUMMYFUNCTION("""COMPUTED_VALUE"""),"Manajemen")</f>
        <v>Manajemen</v>
      </c>
      <c r="H837" s="10" t="str">
        <f>IFERROR(__xludf.DUMMYFUNCTION("""COMPUTED_VALUE"""),"Mahasiswa")</f>
        <v>Mahasiswa</v>
      </c>
      <c r="I837" s="6" t="str">
        <f>IFERROR(__xludf.DUMMYFUNCTION("""COMPUTED_VALUE"""),"Khoirul Huda")</f>
        <v>Khoirul Huda</v>
      </c>
      <c r="J837" s="6" t="str">
        <f>IFERROR(__xludf.DUMMYFUNCTION("""COMPUTED_VALUE"""),"Ari Susanti")</f>
        <v>Ari Susanti</v>
      </c>
      <c r="K837" s="6"/>
      <c r="L837" s="6"/>
      <c r="M837" s="6"/>
      <c r="N837" s="6"/>
      <c r="O837" s="6"/>
      <c r="P837" s="10" t="str">
        <f>IFERROR(__xludf.DUMMYFUNCTION("""COMPUTED_VALUE"""),"Khoirul Huda, Ari Susanti")</f>
        <v>Khoirul Huda, Ari Susanti</v>
      </c>
      <c r="Q837" s="11" t="str">
        <f>IFERROR(__xludf.DUMMYFUNCTION("""COMPUTED_VALUE"""),"https://repository.stiesurakarta.ac.id/submission/ef352d4f-cd05-4eeb-9f03-b1b58ac5d9f5")</f>
        <v>https://repository.stiesurakarta.ac.id/submission/ef352d4f-cd05-4eeb-9f03-b1b58ac5d9f5</v>
      </c>
      <c r="R837" s="6"/>
    </row>
    <row r="838">
      <c r="A838" s="5">
        <f>IFERROR(__xludf.DUMMYFUNCTION("""COMPUTED_VALUE"""),837.0)</f>
        <v>837</v>
      </c>
      <c r="B838" s="6" t="str">
        <f>IFERROR(__xludf.DUMMYFUNCTION("""COMPUTED_VALUE"""),"Pengaruh E-commerce, Modal, dan Lama Usaha terhadap Pendapatan UMKM di Kecamatan Baki Kabupaten Sukoharjo")</f>
        <v>Pengaruh E-commerce, Modal, dan Lama Usaha terhadap Pendapatan UMKM di Kecamatan Baki Kabupaten Sukoharjo</v>
      </c>
      <c r="C838" s="7">
        <f>IFERROR(__xludf.DUMMYFUNCTION("""COMPUTED_VALUE"""),2024.0)</f>
        <v>2024</v>
      </c>
      <c r="D838" s="8" t="str">
        <f>IFERROR(__xludf.DUMMYFUNCTION("""COMPUTED_VALUE"""),"2023/2024")</f>
        <v>2023/2024</v>
      </c>
      <c r="E838" s="9">
        <f>IFERROR(__xludf.DUMMYFUNCTION("""COMPUTED_VALUE"""),45520.0)</f>
        <v>45520</v>
      </c>
      <c r="F838" s="5" t="str">
        <f>IFERROR(__xludf.DUMMYFUNCTION("""COMPUTED_VALUE"""),"Genap")</f>
        <v>Genap</v>
      </c>
      <c r="G838" s="5" t="str">
        <f>IFERROR(__xludf.DUMMYFUNCTION("""COMPUTED_VALUE"""),"Manajemen")</f>
        <v>Manajemen</v>
      </c>
      <c r="H838" s="10" t="str">
        <f>IFERROR(__xludf.DUMMYFUNCTION("""COMPUTED_VALUE"""),"Mahasiswa")</f>
        <v>Mahasiswa</v>
      </c>
      <c r="I838" s="6" t="str">
        <f>IFERROR(__xludf.DUMMYFUNCTION("""COMPUTED_VALUE"""),"Arista Dewi")</f>
        <v>Arista Dewi</v>
      </c>
      <c r="J838" s="6" t="str">
        <f>IFERROR(__xludf.DUMMYFUNCTION("""COMPUTED_VALUE"""),"Ari Susanti")</f>
        <v>Ari Susanti</v>
      </c>
      <c r="K838" s="6"/>
      <c r="L838" s="6"/>
      <c r="M838" s="6"/>
      <c r="N838" s="6"/>
      <c r="O838" s="6"/>
      <c r="P838" s="10" t="str">
        <f>IFERROR(__xludf.DUMMYFUNCTION("""COMPUTED_VALUE"""),"Arista Dewi, Ari Susanti")</f>
        <v>Arista Dewi, Ari Susanti</v>
      </c>
      <c r="Q838" s="11" t="str">
        <f>IFERROR(__xludf.DUMMYFUNCTION("""COMPUTED_VALUE"""),"https://repository.stiesurakarta.ac.id/submission/76f56669-5913-4bf3-84c1-0cfe5867690c")</f>
        <v>https://repository.stiesurakarta.ac.id/submission/76f56669-5913-4bf3-84c1-0cfe5867690c</v>
      </c>
      <c r="R838" s="6"/>
    </row>
    <row r="839">
      <c r="A839" s="5">
        <f>IFERROR(__xludf.DUMMYFUNCTION("""COMPUTED_VALUE"""),838.0)</f>
        <v>838</v>
      </c>
      <c r="B839" s="6" t="str">
        <f>IFERROR(__xludf.DUMMYFUNCTION("""COMPUTED_VALUE"""),"Literasi Keuangan, Perilaku Konsumtif, dan Perilaku FOMO Terhadap Minat Menggunakan Pinjaman Online di Toko Agung Jaya")</f>
        <v>Literasi Keuangan, Perilaku Konsumtif, dan Perilaku FOMO Terhadap Minat Menggunakan Pinjaman Online di Toko Agung Jaya</v>
      </c>
      <c r="C839" s="7">
        <f>IFERROR(__xludf.DUMMYFUNCTION("""COMPUTED_VALUE"""),2024.0)</f>
        <v>2024</v>
      </c>
      <c r="D839" s="8" t="str">
        <f>IFERROR(__xludf.DUMMYFUNCTION("""COMPUTED_VALUE"""),"2023/2024")</f>
        <v>2023/2024</v>
      </c>
      <c r="E839" s="9">
        <f>IFERROR(__xludf.DUMMYFUNCTION("""COMPUTED_VALUE"""),45520.0)</f>
        <v>45520</v>
      </c>
      <c r="F839" s="5" t="str">
        <f>IFERROR(__xludf.DUMMYFUNCTION("""COMPUTED_VALUE"""),"Genap")</f>
        <v>Genap</v>
      </c>
      <c r="G839" s="5" t="str">
        <f>IFERROR(__xludf.DUMMYFUNCTION("""COMPUTED_VALUE"""),"Manajemen")</f>
        <v>Manajemen</v>
      </c>
      <c r="H839" s="10" t="str">
        <f>IFERROR(__xludf.DUMMYFUNCTION("""COMPUTED_VALUE"""),"Mahasiswa")</f>
        <v>Mahasiswa</v>
      </c>
      <c r="I839" s="6" t="str">
        <f>IFERROR(__xludf.DUMMYFUNCTION("""COMPUTED_VALUE"""),"Trie Utami")</f>
        <v>Trie Utami</v>
      </c>
      <c r="J839" s="6" t="str">
        <f>IFERROR(__xludf.DUMMYFUNCTION("""COMPUTED_VALUE"""),"Ari Susanti")</f>
        <v>Ari Susanti</v>
      </c>
      <c r="K839" s="6"/>
      <c r="L839" s="6"/>
      <c r="M839" s="6"/>
      <c r="N839" s="6"/>
      <c r="O839" s="6"/>
      <c r="P839" s="10" t="str">
        <f>IFERROR(__xludf.DUMMYFUNCTION("""COMPUTED_VALUE"""),"Trie Utami, Ari Susanti")</f>
        <v>Trie Utami, Ari Susanti</v>
      </c>
      <c r="Q839" s="11" t="str">
        <f>IFERROR(__xludf.DUMMYFUNCTION("""COMPUTED_VALUE"""),"https://repository.stiesurakarta.ac.id/submission/996f80a1-2e88-4ece-9365-07ad9f17115b")</f>
        <v>https://repository.stiesurakarta.ac.id/submission/996f80a1-2e88-4ece-9365-07ad9f17115b</v>
      </c>
      <c r="R839" s="6"/>
    </row>
    <row r="840">
      <c r="A840" s="5">
        <f>IFERROR(__xludf.DUMMYFUNCTION("""COMPUTED_VALUE"""),839.0)</f>
        <v>839</v>
      </c>
      <c r="B840" s="6" t="str">
        <f>IFERROR(__xludf.DUMMYFUNCTION("""COMPUTED_VALUE"""),"Pengaruh Tingkat Pendidikan, Ukuran Usaha, Pemahaman Akuntansi, dan Pemanfaatan Teknologi Terhadap Kualitas Laporan Keuangan UMKM di Surakarta")</f>
        <v>Pengaruh Tingkat Pendidikan, Ukuran Usaha, Pemahaman Akuntansi, dan Pemanfaatan Teknologi Terhadap Kualitas Laporan Keuangan UMKM di Surakarta</v>
      </c>
      <c r="C840" s="7">
        <f>IFERROR(__xludf.DUMMYFUNCTION("""COMPUTED_VALUE"""),2024.0)</f>
        <v>2024</v>
      </c>
      <c r="D840" s="8" t="str">
        <f>IFERROR(__xludf.DUMMYFUNCTION("""COMPUTED_VALUE"""),"2023/2024")</f>
        <v>2023/2024</v>
      </c>
      <c r="E840" s="9">
        <f>IFERROR(__xludf.DUMMYFUNCTION("""COMPUTED_VALUE"""),45520.0)</f>
        <v>45520</v>
      </c>
      <c r="F840" s="5" t="str">
        <f>IFERROR(__xludf.DUMMYFUNCTION("""COMPUTED_VALUE"""),"Genap")</f>
        <v>Genap</v>
      </c>
      <c r="G840" s="5" t="str">
        <f>IFERROR(__xludf.DUMMYFUNCTION("""COMPUTED_VALUE"""),"Manajemen")</f>
        <v>Manajemen</v>
      </c>
      <c r="H840" s="10" t="str">
        <f>IFERROR(__xludf.DUMMYFUNCTION("""COMPUTED_VALUE"""),"Mahasiswa")</f>
        <v>Mahasiswa</v>
      </c>
      <c r="I840" s="6" t="str">
        <f>IFERROR(__xludf.DUMMYFUNCTION("""COMPUTED_VALUE"""),"Anila Putrimas Oki")</f>
        <v>Anila Putrimas Oki</v>
      </c>
      <c r="J840" s="6" t="str">
        <f>IFERROR(__xludf.DUMMYFUNCTION("""COMPUTED_VALUE"""),"Ari Susanti")</f>
        <v>Ari Susanti</v>
      </c>
      <c r="K840" s="6"/>
      <c r="L840" s="6"/>
      <c r="M840" s="6"/>
      <c r="N840" s="6"/>
      <c r="O840" s="6"/>
      <c r="P840" s="10" t="str">
        <f>IFERROR(__xludf.DUMMYFUNCTION("""COMPUTED_VALUE"""),"Anila Putrimas Oki, Ari Susanti")</f>
        <v>Anila Putrimas Oki, Ari Susanti</v>
      </c>
      <c r="Q840" s="11" t="str">
        <f>IFERROR(__xludf.DUMMYFUNCTION("""COMPUTED_VALUE"""),"https://repository.stiesurakarta.ac.id/submission/d9eb0a74-d028-4cd4-a3e3-51404c00c8ec")</f>
        <v>https://repository.stiesurakarta.ac.id/submission/d9eb0a74-d028-4cd4-a3e3-51404c00c8ec</v>
      </c>
      <c r="R840" s="6"/>
    </row>
    <row r="841">
      <c r="A841" s="5">
        <f>IFERROR(__xludf.DUMMYFUNCTION("""COMPUTED_VALUE"""),840.0)</f>
        <v>840</v>
      </c>
      <c r="B841" s="6" t="str">
        <f>IFERROR(__xludf.DUMMYFUNCTION("""COMPUTED_VALUE"""),"Pengembangan Bisnis Dengan Menerapkan Pembukuan Sederhana Pada Poe-3 Elektrik")</f>
        <v>Pengembangan Bisnis Dengan Menerapkan Pembukuan Sederhana Pada Poe-3 Elektrik</v>
      </c>
      <c r="C841" s="7">
        <f>IFERROR(__xludf.DUMMYFUNCTION("""COMPUTED_VALUE"""),2024.0)</f>
        <v>2024</v>
      </c>
      <c r="D841" s="8" t="str">
        <f>IFERROR(__xludf.DUMMYFUNCTION("""COMPUTED_VALUE"""),"2023/2024")</f>
        <v>2023/2024</v>
      </c>
      <c r="E841" s="9">
        <f>IFERROR(__xludf.DUMMYFUNCTION("""COMPUTED_VALUE"""),45521.0)</f>
        <v>45521</v>
      </c>
      <c r="F841" s="5" t="str">
        <f>IFERROR(__xludf.DUMMYFUNCTION("""COMPUTED_VALUE"""),"Genap")</f>
        <v>Genap</v>
      </c>
      <c r="G841" s="5" t="str">
        <f>IFERROR(__xludf.DUMMYFUNCTION("""COMPUTED_VALUE"""),"Akuntansi")</f>
        <v>Akuntansi</v>
      </c>
      <c r="H841" s="10" t="str">
        <f>IFERROR(__xludf.DUMMYFUNCTION("""COMPUTED_VALUE"""),"Dosen")</f>
        <v>Dosen</v>
      </c>
      <c r="I841" s="6" t="str">
        <f>IFERROR(__xludf.DUMMYFUNCTION("""COMPUTED_VALUE"""),"Tri Ratna Pamikatsih")</f>
        <v>Tri Ratna Pamikatsih</v>
      </c>
      <c r="J841" s="6" t="str">
        <f>IFERROR(__xludf.DUMMYFUNCTION("""COMPUTED_VALUE"""),"Adeviani Fiardhani")</f>
        <v>Adeviani Fiardhani</v>
      </c>
      <c r="K841" s="6"/>
      <c r="L841" s="6"/>
      <c r="M841" s="6"/>
      <c r="N841" s="6"/>
      <c r="O841" s="6"/>
      <c r="P841" s="10"/>
      <c r="Q841" s="11" t="str">
        <f>IFERROR(__xludf.DUMMYFUNCTION("""COMPUTED_VALUE"""),"https://jurnalpengabdianmasyarakatbangsa.com/index.php/jpmba/article/view/1191/1002")</f>
        <v>https://jurnalpengabdianmasyarakatbangsa.com/index.php/jpmba/article/view/1191/1002</v>
      </c>
      <c r="R841" s="6"/>
    </row>
    <row r="842">
      <c r="A842" s="5">
        <f>IFERROR(__xludf.DUMMYFUNCTION("""COMPUTED_VALUE"""),841.0)</f>
        <v>841</v>
      </c>
      <c r="B842" s="6" t="str">
        <f>IFERROR(__xludf.DUMMYFUNCTION("""COMPUTED_VALUE"""),"The Effect of Priorities Development to City Branding: Case Study in Surakarta City")</f>
        <v>The Effect of Priorities Development to City Branding: Case Study in Surakarta City</v>
      </c>
      <c r="C842" s="7">
        <f>IFERROR(__xludf.DUMMYFUNCTION("""COMPUTED_VALUE"""),2024.0)</f>
        <v>2024</v>
      </c>
      <c r="D842" s="8" t="str">
        <f>IFERROR(__xludf.DUMMYFUNCTION("""COMPUTED_VALUE"""),"2023/2024")</f>
        <v>2023/2024</v>
      </c>
      <c r="E842" s="9">
        <f>IFERROR(__xludf.DUMMYFUNCTION("""COMPUTED_VALUE"""),45525.0)</f>
        <v>45525</v>
      </c>
      <c r="F842" s="5" t="str">
        <f>IFERROR(__xludf.DUMMYFUNCTION("""COMPUTED_VALUE"""),"Genap")</f>
        <v>Genap</v>
      </c>
      <c r="G842" s="5" t="str">
        <f>IFERROR(__xludf.DUMMYFUNCTION("""COMPUTED_VALUE"""),"Manajemen")</f>
        <v>Manajemen</v>
      </c>
      <c r="H842" s="10" t="str">
        <f>IFERROR(__xludf.DUMMYFUNCTION("""COMPUTED_VALUE"""),"Dosen")</f>
        <v>Dosen</v>
      </c>
      <c r="I842" s="6" t="str">
        <f>IFERROR(__xludf.DUMMYFUNCTION("""COMPUTED_VALUE"""),"Ginanjar Rahmawan")</f>
        <v>Ginanjar Rahmawan</v>
      </c>
      <c r="J842" s="6" t="str">
        <f>IFERROR(__xludf.DUMMYFUNCTION("""COMPUTED_VALUE"""),"Mahadewi Lourdes Namora")</f>
        <v>Mahadewi Lourdes Namora</v>
      </c>
      <c r="K842" s="6"/>
      <c r="L842" s="6"/>
      <c r="M842" s="6"/>
      <c r="N842" s="6"/>
      <c r="O842" s="6"/>
      <c r="P842" s="10"/>
      <c r="Q842" s="11" t="str">
        <f>IFERROR(__xludf.DUMMYFUNCTION("""COMPUTED_VALUE"""),"https://docs.google.com/document/d/1XiEzEEYfTJGqbBJzhnVzHG5-5kN3cZw4/edit?usp=drive_link&amp;ouid=113741177560435037779&amp;rtpof=true&amp;sd=true")</f>
        <v>https://docs.google.com/document/d/1XiEzEEYfTJGqbBJzhnVzHG5-5kN3cZw4/edit?usp=drive_link&amp;ouid=113741177560435037779&amp;rtpof=true&amp;sd=true</v>
      </c>
      <c r="R842" s="6"/>
    </row>
    <row r="843">
      <c r="A843" s="5">
        <f>IFERROR(__xludf.DUMMYFUNCTION("""COMPUTED_VALUE"""),842.0)</f>
        <v>842</v>
      </c>
      <c r="B843" s="6" t="str">
        <f>IFERROR(__xludf.DUMMYFUNCTION("""COMPUTED_VALUE"""),"Determinan Minat Investasi Bagi Mahasiswa di Kota Solo")</f>
        <v>Determinan Minat Investasi Bagi Mahasiswa di Kota Solo</v>
      </c>
      <c r="C843" s="7">
        <f>IFERROR(__xludf.DUMMYFUNCTION("""COMPUTED_VALUE"""),2024.0)</f>
        <v>2024</v>
      </c>
      <c r="D843" s="8" t="str">
        <f>IFERROR(__xludf.DUMMYFUNCTION("""COMPUTED_VALUE"""),"2023/2024")</f>
        <v>2023/2024</v>
      </c>
      <c r="E843" s="9">
        <f>IFERROR(__xludf.DUMMYFUNCTION("""COMPUTED_VALUE"""),45526.0)</f>
        <v>45526</v>
      </c>
      <c r="F843" s="5" t="str">
        <f>IFERROR(__xludf.DUMMYFUNCTION("""COMPUTED_VALUE"""),"Genap")</f>
        <v>Genap</v>
      </c>
      <c r="G843" s="5" t="str">
        <f>IFERROR(__xludf.DUMMYFUNCTION("""COMPUTED_VALUE"""),"Manajemen")</f>
        <v>Manajemen</v>
      </c>
      <c r="H843" s="10" t="str">
        <f>IFERROR(__xludf.DUMMYFUNCTION("""COMPUTED_VALUE"""),"Mahasiswa")</f>
        <v>Mahasiswa</v>
      </c>
      <c r="I843" s="6" t="str">
        <f>IFERROR(__xludf.DUMMYFUNCTION("""COMPUTED_VALUE"""),"Maharani Suprihatin")</f>
        <v>Maharani Suprihatin</v>
      </c>
      <c r="J843" s="6" t="str">
        <f>IFERROR(__xludf.DUMMYFUNCTION("""COMPUTED_VALUE"""),"Ari Susanti")</f>
        <v>Ari Susanti</v>
      </c>
      <c r="K843" s="6"/>
      <c r="L843" s="6"/>
      <c r="M843" s="6"/>
      <c r="N843" s="6"/>
      <c r="O843" s="6"/>
      <c r="P843" s="10" t="str">
        <f>IFERROR(__xludf.DUMMYFUNCTION("""COMPUTED_VALUE"""),"Maharani Suprihatin, Ari Susanti")</f>
        <v>Maharani Suprihatin, Ari Susanti</v>
      </c>
      <c r="Q843" s="11" t="str">
        <f>IFERROR(__xludf.DUMMYFUNCTION("""COMPUTED_VALUE"""),"https://ejurnal.stie-trianandra.ac.id/index.php/jumia/article/view/3313")</f>
        <v>https://ejurnal.stie-trianandra.ac.id/index.php/jumia/article/view/3313</v>
      </c>
      <c r="R843" s="6"/>
    </row>
    <row r="844">
      <c r="A844" s="5">
        <f>IFERROR(__xludf.DUMMYFUNCTION("""COMPUTED_VALUE"""),843.0)</f>
        <v>843</v>
      </c>
      <c r="B844" s="6" t="str">
        <f>IFERROR(__xludf.DUMMYFUNCTION("""COMPUTED_VALUE"""),"Pengaruh Persepsi, Motivasi ,dan Promosi Terhadap Pemilihan Kampus Fakultas Seni Pertunjukan (Institut Seni Indonesia Surakarta)")</f>
        <v>Pengaruh Persepsi, Motivasi ,dan Promosi Terhadap Pemilihan Kampus Fakultas Seni Pertunjukan (Institut Seni Indonesia Surakarta)</v>
      </c>
      <c r="C844" s="7">
        <f>IFERROR(__xludf.DUMMYFUNCTION("""COMPUTED_VALUE"""),2024.0)</f>
        <v>2024</v>
      </c>
      <c r="D844" s="8" t="str">
        <f>IFERROR(__xludf.DUMMYFUNCTION("""COMPUTED_VALUE"""),"2023/2024")</f>
        <v>2023/2024</v>
      </c>
      <c r="E844" s="9">
        <f>IFERROR(__xludf.DUMMYFUNCTION("""COMPUTED_VALUE"""),45527.0)</f>
        <v>45527</v>
      </c>
      <c r="F844" s="5" t="str">
        <f>IFERROR(__xludf.DUMMYFUNCTION("""COMPUTED_VALUE"""),"Genap")</f>
        <v>Genap</v>
      </c>
      <c r="G844" s="5" t="str">
        <f>IFERROR(__xludf.DUMMYFUNCTION("""COMPUTED_VALUE"""),"Manajemen")</f>
        <v>Manajemen</v>
      </c>
      <c r="H844" s="10" t="str">
        <f>IFERROR(__xludf.DUMMYFUNCTION("""COMPUTED_VALUE"""),"Mahasiswa")</f>
        <v>Mahasiswa</v>
      </c>
      <c r="I844" s="6" t="str">
        <f>IFERROR(__xludf.DUMMYFUNCTION("""COMPUTED_VALUE"""),"Wahyu Chaisar Purnomo")</f>
        <v>Wahyu Chaisar Purnomo</v>
      </c>
      <c r="J844" s="6" t="str">
        <f>IFERROR(__xludf.DUMMYFUNCTION("""COMPUTED_VALUE"""),"Aditya Liliyan")</f>
        <v>Aditya Liliyan</v>
      </c>
      <c r="K844" s="6"/>
      <c r="L844" s="6"/>
      <c r="M844" s="6"/>
      <c r="N844" s="6"/>
      <c r="O844" s="6"/>
      <c r="P844" s="10" t="str">
        <f>IFERROR(__xludf.DUMMYFUNCTION("""COMPUTED_VALUE"""),"Wahyu Chaisar Purnomo, Aditya Liliyan")</f>
        <v>Wahyu Chaisar Purnomo, Aditya Liliyan</v>
      </c>
      <c r="Q844" s="11" t="str">
        <f>IFERROR(__xludf.DUMMYFUNCTION("""COMPUTED_VALUE"""),"https://repository.stiesurakarta.ac.id/submission/3d4bb08d-9897-47bd-8253-77baefc89e7a")</f>
        <v>https://repository.stiesurakarta.ac.id/submission/3d4bb08d-9897-47bd-8253-77baefc89e7a</v>
      </c>
      <c r="R844" s="6"/>
    </row>
    <row r="845">
      <c r="A845" s="5">
        <f>IFERROR(__xludf.DUMMYFUNCTION("""COMPUTED_VALUE"""),844.0)</f>
        <v>844</v>
      </c>
      <c r="B845" s="6" t="str">
        <f>IFERROR(__xludf.DUMMYFUNCTION("""COMPUTED_VALUE"""),"Analisis Faktor-Faktor yang Mempengaruhi Kepuasan Konsumen pada Penjualan Susu Cair UHT Ultramilk di Surakarta")</f>
        <v>Analisis Faktor-Faktor yang Mempengaruhi Kepuasan Konsumen pada Penjualan Susu Cair UHT Ultramilk di Surakarta</v>
      </c>
      <c r="C845" s="7">
        <f>IFERROR(__xludf.DUMMYFUNCTION("""COMPUTED_VALUE"""),2024.0)</f>
        <v>2024</v>
      </c>
      <c r="D845" s="8" t="str">
        <f>IFERROR(__xludf.DUMMYFUNCTION("""COMPUTED_VALUE"""),"2023/2024")</f>
        <v>2023/2024</v>
      </c>
      <c r="E845" s="9">
        <f>IFERROR(__xludf.DUMMYFUNCTION("""COMPUTED_VALUE"""),45527.0)</f>
        <v>45527</v>
      </c>
      <c r="F845" s="5" t="str">
        <f>IFERROR(__xludf.DUMMYFUNCTION("""COMPUTED_VALUE"""),"Genap")</f>
        <v>Genap</v>
      </c>
      <c r="G845" s="5" t="str">
        <f>IFERROR(__xludf.DUMMYFUNCTION("""COMPUTED_VALUE"""),"Manajemen")</f>
        <v>Manajemen</v>
      </c>
      <c r="H845" s="10" t="str">
        <f>IFERROR(__xludf.DUMMYFUNCTION("""COMPUTED_VALUE"""),"Mahasiswa")</f>
        <v>Mahasiswa</v>
      </c>
      <c r="I845" s="6" t="str">
        <f>IFERROR(__xludf.DUMMYFUNCTION("""COMPUTED_VALUE"""),"Dwi Ernawati")</f>
        <v>Dwi Ernawati</v>
      </c>
      <c r="J845" s="6" t="str">
        <f>IFERROR(__xludf.DUMMYFUNCTION("""COMPUTED_VALUE"""),"Aditya Liliyan")</f>
        <v>Aditya Liliyan</v>
      </c>
      <c r="K845" s="6"/>
      <c r="L845" s="6"/>
      <c r="M845" s="6"/>
      <c r="N845" s="6"/>
      <c r="O845" s="6"/>
      <c r="P845" s="10" t="str">
        <f>IFERROR(__xludf.DUMMYFUNCTION("""COMPUTED_VALUE"""),"Dwi Ernawati, Aditya Liliyan")</f>
        <v>Dwi Ernawati, Aditya Liliyan</v>
      </c>
      <c r="Q845" s="11" t="str">
        <f>IFERROR(__xludf.DUMMYFUNCTION("""COMPUTED_VALUE"""),"https://repository.stiesurakarta.ac.id/submission/94096bbc-f343-4188-9e25-7249f8cfd22a")</f>
        <v>https://repository.stiesurakarta.ac.id/submission/94096bbc-f343-4188-9e25-7249f8cfd22a</v>
      </c>
      <c r="R845" s="6"/>
    </row>
    <row r="846">
      <c r="A846" s="5">
        <f>IFERROR(__xludf.DUMMYFUNCTION("""COMPUTED_VALUE"""),845.0)</f>
        <v>845</v>
      </c>
      <c r="B846" s="6" t="str">
        <f>IFERROR(__xludf.DUMMYFUNCTION("""COMPUTED_VALUE"""),"Pengaruh Gaya Kepemimpinan, Lingkungan Kerja, dan Stres Kerja Terhadap Kinerja Karyawan PT Megah Arta Garments Sukoharjo")</f>
        <v>Pengaruh Gaya Kepemimpinan, Lingkungan Kerja, dan Stres Kerja Terhadap Kinerja Karyawan PT Megah Arta Garments Sukoharjo</v>
      </c>
      <c r="C846" s="7">
        <f>IFERROR(__xludf.DUMMYFUNCTION("""COMPUTED_VALUE"""),2024.0)</f>
        <v>2024</v>
      </c>
      <c r="D846" s="8" t="str">
        <f>IFERROR(__xludf.DUMMYFUNCTION("""COMPUTED_VALUE"""),"2023/2024")</f>
        <v>2023/2024</v>
      </c>
      <c r="E846" s="9">
        <f>IFERROR(__xludf.DUMMYFUNCTION("""COMPUTED_VALUE"""),45527.0)</f>
        <v>45527</v>
      </c>
      <c r="F846" s="5" t="str">
        <f>IFERROR(__xludf.DUMMYFUNCTION("""COMPUTED_VALUE"""),"Genap")</f>
        <v>Genap</v>
      </c>
      <c r="G846" s="5" t="str">
        <f>IFERROR(__xludf.DUMMYFUNCTION("""COMPUTED_VALUE"""),"Manajemen")</f>
        <v>Manajemen</v>
      </c>
      <c r="H846" s="10" t="str">
        <f>IFERROR(__xludf.DUMMYFUNCTION("""COMPUTED_VALUE"""),"Mahasiswa")</f>
        <v>Mahasiswa</v>
      </c>
      <c r="I846" s="6" t="str">
        <f>IFERROR(__xludf.DUMMYFUNCTION("""COMPUTED_VALUE"""),"Hana Putri Patricia")</f>
        <v>Hana Putri Patricia</v>
      </c>
      <c r="J846" s="6" t="str">
        <f>IFERROR(__xludf.DUMMYFUNCTION("""COMPUTED_VALUE"""),"Aditya Liliyan")</f>
        <v>Aditya Liliyan</v>
      </c>
      <c r="K846" s="6"/>
      <c r="L846" s="6"/>
      <c r="M846" s="6"/>
      <c r="N846" s="6"/>
      <c r="O846" s="6"/>
      <c r="P846" s="10" t="str">
        <f>IFERROR(__xludf.DUMMYFUNCTION("""COMPUTED_VALUE"""),"Hana Putri Patricia, Aditya Liliyan")</f>
        <v>Hana Putri Patricia, Aditya Liliyan</v>
      </c>
      <c r="Q846" s="11" t="str">
        <f>IFERROR(__xludf.DUMMYFUNCTION("""COMPUTED_VALUE"""),"https://repository.stiesurakarta.ac.id/submission/ddba1acf-f4fc-4e48-bfff-e8d97c686e8e")</f>
        <v>https://repository.stiesurakarta.ac.id/submission/ddba1acf-f4fc-4e48-bfff-e8d97c686e8e</v>
      </c>
      <c r="R846" s="6"/>
    </row>
    <row r="847">
      <c r="A847" s="5">
        <f>IFERROR(__xludf.DUMMYFUNCTION("""COMPUTED_VALUE"""),846.0)</f>
        <v>846</v>
      </c>
      <c r="B847" s="6" t="str">
        <f>IFERROR(__xludf.DUMMYFUNCTION("""COMPUTED_VALUE"""),"Pengaruh Lokasi, Kualitas Pelayanan dan Kepercayaan Terhadap Keputusan Pembelian Tiket Bus PO. Rosalia Indah di Palur Karanganyar")</f>
        <v>Pengaruh Lokasi, Kualitas Pelayanan dan Kepercayaan Terhadap Keputusan Pembelian Tiket Bus PO. Rosalia Indah di Palur Karanganyar</v>
      </c>
      <c r="C847" s="7">
        <f>IFERROR(__xludf.DUMMYFUNCTION("""COMPUTED_VALUE"""),2024.0)</f>
        <v>2024</v>
      </c>
      <c r="D847" s="8" t="str">
        <f>IFERROR(__xludf.DUMMYFUNCTION("""COMPUTED_VALUE"""),"2023/2024")</f>
        <v>2023/2024</v>
      </c>
      <c r="E847" s="9">
        <f>IFERROR(__xludf.DUMMYFUNCTION("""COMPUTED_VALUE"""),45527.0)</f>
        <v>45527</v>
      </c>
      <c r="F847" s="5" t="str">
        <f>IFERROR(__xludf.DUMMYFUNCTION("""COMPUTED_VALUE"""),"Genap")</f>
        <v>Genap</v>
      </c>
      <c r="G847" s="5" t="str">
        <f>IFERROR(__xludf.DUMMYFUNCTION("""COMPUTED_VALUE"""),"Manajemen")</f>
        <v>Manajemen</v>
      </c>
      <c r="H847" s="10" t="str">
        <f>IFERROR(__xludf.DUMMYFUNCTION("""COMPUTED_VALUE"""),"Mahasiswa")</f>
        <v>Mahasiswa</v>
      </c>
      <c r="I847" s="6" t="str">
        <f>IFERROR(__xludf.DUMMYFUNCTION("""COMPUTED_VALUE"""),"Rio Bayu Saputro")</f>
        <v>Rio Bayu Saputro</v>
      </c>
      <c r="J847" s="6" t="str">
        <f>IFERROR(__xludf.DUMMYFUNCTION("""COMPUTED_VALUE"""),"Aditya Liliyan")</f>
        <v>Aditya Liliyan</v>
      </c>
      <c r="K847" s="6"/>
      <c r="L847" s="6"/>
      <c r="M847" s="6"/>
      <c r="N847" s="6"/>
      <c r="O847" s="6"/>
      <c r="P847" s="10" t="str">
        <f>IFERROR(__xludf.DUMMYFUNCTION("""COMPUTED_VALUE"""),"Rio Bayu Saputro, Aditya Liliyan")</f>
        <v>Rio Bayu Saputro, Aditya Liliyan</v>
      </c>
      <c r="Q847" s="11" t="str">
        <f>IFERROR(__xludf.DUMMYFUNCTION("""COMPUTED_VALUE"""),"https://repository.stiesurakarta.ac.id/submission/9c74c004-d035-422b-a843-f52d949dcb8e")</f>
        <v>https://repository.stiesurakarta.ac.id/submission/9c74c004-d035-422b-a843-f52d949dcb8e</v>
      </c>
      <c r="R847" s="6"/>
    </row>
    <row r="848">
      <c r="A848" s="5">
        <f>IFERROR(__xludf.DUMMYFUNCTION("""COMPUTED_VALUE"""),847.0)</f>
        <v>847</v>
      </c>
      <c r="B848" s="6" t="str">
        <f>IFERROR(__xludf.DUMMYFUNCTION("""COMPUTED_VALUE"""),"Relevansi Peran Literasi Keuangan, Digitalisasi, Pemberian Kredit, dan Kemampuan Menyusun Laporan Keuangan Terhadap Kinerja UMKM (Studi Kasus UMKM Kuliner di Surakarta)")</f>
        <v>Relevansi Peran Literasi Keuangan, Digitalisasi, Pemberian Kredit, dan Kemampuan Menyusun Laporan Keuangan Terhadap Kinerja UMKM (Studi Kasus UMKM Kuliner di Surakarta)</v>
      </c>
      <c r="C848" s="7">
        <f>IFERROR(__xludf.DUMMYFUNCTION("""COMPUTED_VALUE"""),2024.0)</f>
        <v>2024</v>
      </c>
      <c r="D848" s="8" t="str">
        <f>IFERROR(__xludf.DUMMYFUNCTION("""COMPUTED_VALUE"""),"2023/2024")</f>
        <v>2023/2024</v>
      </c>
      <c r="E848" s="9">
        <f>IFERROR(__xludf.DUMMYFUNCTION("""COMPUTED_VALUE"""),45527.0)</f>
        <v>45527</v>
      </c>
      <c r="F848" s="5" t="str">
        <f>IFERROR(__xludf.DUMMYFUNCTION("""COMPUTED_VALUE"""),"Genap")</f>
        <v>Genap</v>
      </c>
      <c r="G848" s="5" t="str">
        <f>IFERROR(__xludf.DUMMYFUNCTION("""COMPUTED_VALUE"""),"Manajemen")</f>
        <v>Manajemen</v>
      </c>
      <c r="H848" s="10" t="str">
        <f>IFERROR(__xludf.DUMMYFUNCTION("""COMPUTED_VALUE"""),"Mahasiswa")</f>
        <v>Mahasiswa</v>
      </c>
      <c r="I848" s="6" t="str">
        <f>IFERROR(__xludf.DUMMYFUNCTION("""COMPUTED_VALUE"""),"Aqifiah Shoffa")</f>
        <v>Aqifiah Shoffa</v>
      </c>
      <c r="J848" s="6" t="str">
        <f>IFERROR(__xludf.DUMMYFUNCTION("""COMPUTED_VALUE"""),"Ari Susanti")</f>
        <v>Ari Susanti</v>
      </c>
      <c r="K848" s="6"/>
      <c r="L848" s="6"/>
      <c r="M848" s="6"/>
      <c r="N848" s="6"/>
      <c r="O848" s="6"/>
      <c r="P848" s="10" t="str">
        <f>IFERROR(__xludf.DUMMYFUNCTION("""COMPUTED_VALUE"""),"Aqifiah Shoffa, Ari Susanti")</f>
        <v>Aqifiah Shoffa, Ari Susanti</v>
      </c>
      <c r="Q848" s="11" t="str">
        <f>IFERROR(__xludf.DUMMYFUNCTION("""COMPUTED_VALUE"""),"https://repository.stiesurakarta.ac.id/submission/ad0ac821-01e2-42ec-a8f3-0c6a5d6d462c")</f>
        <v>https://repository.stiesurakarta.ac.id/submission/ad0ac821-01e2-42ec-a8f3-0c6a5d6d462c</v>
      </c>
      <c r="R848" s="6"/>
    </row>
    <row r="849">
      <c r="A849" s="5">
        <f>IFERROR(__xludf.DUMMYFUNCTION("""COMPUTED_VALUE"""),848.0)</f>
        <v>848</v>
      </c>
      <c r="B849" s="6" t="str">
        <f>IFERROR(__xludf.DUMMYFUNCTION("""COMPUTED_VALUE"""),"Pengaruh Kepemilikan Saham Manajerial, Likuiditas, Leverage, dan Ukuran Perusahaan Terhadap Kinerja Keuangan Perusahan : Studi pada Indeks LQ45 Sektor Industri (2019-2022)")</f>
        <v>Pengaruh Kepemilikan Saham Manajerial, Likuiditas, Leverage, dan Ukuran Perusahaan Terhadap Kinerja Keuangan Perusahan : Studi pada Indeks LQ45 Sektor Industri (2019-2022)</v>
      </c>
      <c r="C849" s="7">
        <f>IFERROR(__xludf.DUMMYFUNCTION("""COMPUTED_VALUE"""),2024.0)</f>
        <v>2024</v>
      </c>
      <c r="D849" s="8" t="str">
        <f>IFERROR(__xludf.DUMMYFUNCTION("""COMPUTED_VALUE"""),"2023/2024")</f>
        <v>2023/2024</v>
      </c>
      <c r="E849" s="9">
        <f>IFERROR(__xludf.DUMMYFUNCTION("""COMPUTED_VALUE"""),45527.0)</f>
        <v>45527</v>
      </c>
      <c r="F849" s="5" t="str">
        <f>IFERROR(__xludf.DUMMYFUNCTION("""COMPUTED_VALUE"""),"Genap")</f>
        <v>Genap</v>
      </c>
      <c r="G849" s="5" t="str">
        <f>IFERROR(__xludf.DUMMYFUNCTION("""COMPUTED_VALUE"""),"Manajemen")</f>
        <v>Manajemen</v>
      </c>
      <c r="H849" s="10" t="str">
        <f>IFERROR(__xludf.DUMMYFUNCTION("""COMPUTED_VALUE"""),"Mahasiswa")</f>
        <v>Mahasiswa</v>
      </c>
      <c r="I849" s="6" t="str">
        <f>IFERROR(__xludf.DUMMYFUNCTION("""COMPUTED_VALUE"""),"Aisyah Fauziya Haris")</f>
        <v>Aisyah Fauziya Haris</v>
      </c>
      <c r="J849" s="6" t="str">
        <f>IFERROR(__xludf.DUMMYFUNCTION("""COMPUTED_VALUE"""),"Ari Susanti")</f>
        <v>Ari Susanti</v>
      </c>
      <c r="K849" s="6"/>
      <c r="L849" s="6"/>
      <c r="M849" s="6"/>
      <c r="N849" s="6"/>
      <c r="O849" s="6"/>
      <c r="P849" s="10" t="str">
        <f>IFERROR(__xludf.DUMMYFUNCTION("""COMPUTED_VALUE"""),"Aisyah Fauziya Haris, Ari Susanti")</f>
        <v>Aisyah Fauziya Haris, Ari Susanti</v>
      </c>
      <c r="Q849" s="11" t="str">
        <f>IFERROR(__xludf.DUMMYFUNCTION("""COMPUTED_VALUE"""),"https://repository.stiesurakarta.ac.id/submission/34866265-9f28-42a1-b15f-517259a3cffc")</f>
        <v>https://repository.stiesurakarta.ac.id/submission/34866265-9f28-42a1-b15f-517259a3cffc</v>
      </c>
      <c r="R849" s="6"/>
    </row>
    <row r="850">
      <c r="A850" s="5">
        <f>IFERROR(__xludf.DUMMYFUNCTION("""COMPUTED_VALUE"""),849.0)</f>
        <v>849</v>
      </c>
      <c r="B850" s="6" t="str">
        <f>IFERROR(__xludf.DUMMYFUNCTION("""COMPUTED_VALUE"""),"Determinan Kinerja Keuangan Perusahaan Batubara yang Terdaftar di BEI")</f>
        <v>Determinan Kinerja Keuangan Perusahaan Batubara yang Terdaftar di BEI</v>
      </c>
      <c r="C850" s="7">
        <f>IFERROR(__xludf.DUMMYFUNCTION("""COMPUTED_VALUE"""),2024.0)</f>
        <v>2024</v>
      </c>
      <c r="D850" s="8" t="str">
        <f>IFERROR(__xludf.DUMMYFUNCTION("""COMPUTED_VALUE"""),"2023/2024")</f>
        <v>2023/2024</v>
      </c>
      <c r="E850" s="9">
        <f>IFERROR(__xludf.DUMMYFUNCTION("""COMPUTED_VALUE"""),45527.0)</f>
        <v>45527</v>
      </c>
      <c r="F850" s="5" t="str">
        <f>IFERROR(__xludf.DUMMYFUNCTION("""COMPUTED_VALUE"""),"Genap")</f>
        <v>Genap</v>
      </c>
      <c r="G850" s="5" t="str">
        <f>IFERROR(__xludf.DUMMYFUNCTION("""COMPUTED_VALUE"""),"Akuntansi")</f>
        <v>Akuntansi</v>
      </c>
      <c r="H850" s="10" t="str">
        <f>IFERROR(__xludf.DUMMYFUNCTION("""COMPUTED_VALUE"""),"Mahasiswa")</f>
        <v>Mahasiswa</v>
      </c>
      <c r="I850" s="6" t="str">
        <f>IFERROR(__xludf.DUMMYFUNCTION("""COMPUTED_VALUE"""),"Ade Andri Setyaningsih")</f>
        <v>Ade Andri Setyaningsih</v>
      </c>
      <c r="J850" s="6" t="str">
        <f>IFERROR(__xludf.DUMMYFUNCTION("""COMPUTED_VALUE"""),"Ismunawan")</f>
        <v>Ismunawan</v>
      </c>
      <c r="K850" s="6"/>
      <c r="L850" s="6"/>
      <c r="M850" s="6"/>
      <c r="N850" s="6"/>
      <c r="O850" s="6"/>
      <c r="P850" s="10" t="str">
        <f>IFERROR(__xludf.DUMMYFUNCTION("""COMPUTED_VALUE"""),"Ade Andri Setyaningsih, Ismunawan")</f>
        <v>Ade Andri Setyaningsih, Ismunawan</v>
      </c>
      <c r="Q850" s="11" t="str">
        <f>IFERROR(__xludf.DUMMYFUNCTION("""COMPUTED_VALUE"""),"https://jurnal.itbsemarang.ac.id/index.php/JREA/article/view/2357")</f>
        <v>https://jurnal.itbsemarang.ac.id/index.php/JREA/article/view/2357</v>
      </c>
      <c r="R850" s="6"/>
    </row>
    <row r="851">
      <c r="A851" s="5">
        <f>IFERROR(__xludf.DUMMYFUNCTION("""COMPUTED_VALUE"""),850.0)</f>
        <v>850</v>
      </c>
      <c r="B851" s="6" t="str">
        <f>IFERROR(__xludf.DUMMYFUNCTION("""COMPUTED_VALUE"""),"Pengaruh Kualitas Produk, Citra Merek, dan Customer Experience Terhadap Loyalitas Konsumen McDonald’s Solo Raya")</f>
        <v>Pengaruh Kualitas Produk, Citra Merek, dan Customer Experience Terhadap Loyalitas Konsumen McDonald’s Solo Raya</v>
      </c>
      <c r="C851" s="7">
        <f>IFERROR(__xludf.DUMMYFUNCTION("""COMPUTED_VALUE"""),2024.0)</f>
        <v>2024</v>
      </c>
      <c r="D851" s="8" t="str">
        <f>IFERROR(__xludf.DUMMYFUNCTION("""COMPUTED_VALUE"""),"2023/2024")</f>
        <v>2023/2024</v>
      </c>
      <c r="E851" s="9">
        <f>IFERROR(__xludf.DUMMYFUNCTION("""COMPUTED_VALUE"""),45530.0)</f>
        <v>45530</v>
      </c>
      <c r="F851" s="5" t="str">
        <f>IFERROR(__xludf.DUMMYFUNCTION("""COMPUTED_VALUE"""),"Genap")</f>
        <v>Genap</v>
      </c>
      <c r="G851" s="5" t="str">
        <f>IFERROR(__xludf.DUMMYFUNCTION("""COMPUTED_VALUE"""),"Akuntansi")</f>
        <v>Akuntansi</v>
      </c>
      <c r="H851" s="10" t="str">
        <f>IFERROR(__xludf.DUMMYFUNCTION("""COMPUTED_VALUE"""),"Mahasiswa")</f>
        <v>Mahasiswa</v>
      </c>
      <c r="I851" s="6" t="str">
        <f>IFERROR(__xludf.DUMMYFUNCTION("""COMPUTED_VALUE"""),"Putri Nur Azzahra")</f>
        <v>Putri Nur Azzahra</v>
      </c>
      <c r="J851" s="6" t="str">
        <f>IFERROR(__xludf.DUMMYFUNCTION("""COMPUTED_VALUE"""),"Tri Ratna Pamikatsih")</f>
        <v>Tri Ratna Pamikatsih</v>
      </c>
      <c r="K851" s="6"/>
      <c r="L851" s="6"/>
      <c r="M851" s="6"/>
      <c r="N851" s="6"/>
      <c r="O851" s="6"/>
      <c r="P851" s="10" t="str">
        <f>IFERROR(__xludf.DUMMYFUNCTION("""COMPUTED_VALUE"""),"Putri Nur Azzahra, Tri Ratna Pamikatsih")</f>
        <v>Putri Nur Azzahra, Tri Ratna Pamikatsih</v>
      </c>
      <c r="Q851" s="11" t="str">
        <f>IFERROR(__xludf.DUMMYFUNCTION("""COMPUTED_VALUE"""),"https://repository.stiesurakarta.ac.id/submission/07c5ffb8-9b3a-462b-a25b-47a05642ba9e")</f>
        <v>https://repository.stiesurakarta.ac.id/submission/07c5ffb8-9b3a-462b-a25b-47a05642ba9e</v>
      </c>
      <c r="R851" s="6"/>
    </row>
    <row r="852">
      <c r="A852" s="5">
        <f>IFERROR(__xludf.DUMMYFUNCTION("""COMPUTED_VALUE"""),851.0)</f>
        <v>851</v>
      </c>
      <c r="B852" s="6" t="str">
        <f>IFERROR(__xludf.DUMMYFUNCTION("""COMPUTED_VALUE"""),"Optimasi Konten Instagram dalam Strategi Promosi Bisnis Foto Pernikahan Sekawan Stories")</f>
        <v>Optimasi Konten Instagram dalam Strategi Promosi Bisnis Foto Pernikahan Sekawan Stories</v>
      </c>
      <c r="C852" s="7">
        <f>IFERROR(__xludf.DUMMYFUNCTION("""COMPUTED_VALUE"""),2024.0)</f>
        <v>2024</v>
      </c>
      <c r="D852" s="8" t="str">
        <f>IFERROR(__xludf.DUMMYFUNCTION("""COMPUTED_VALUE"""),"2023/2024")</f>
        <v>2023/2024</v>
      </c>
      <c r="E852" s="9">
        <f>IFERROR(__xludf.DUMMYFUNCTION("""COMPUTED_VALUE"""),45530.0)</f>
        <v>45530</v>
      </c>
      <c r="F852" s="5" t="str">
        <f>IFERROR(__xludf.DUMMYFUNCTION("""COMPUTED_VALUE"""),"Genap")</f>
        <v>Genap</v>
      </c>
      <c r="G852" s="5" t="str">
        <f>IFERROR(__xludf.DUMMYFUNCTION("""COMPUTED_VALUE"""),"Manajemen")</f>
        <v>Manajemen</v>
      </c>
      <c r="H852" s="10" t="str">
        <f>IFERROR(__xludf.DUMMYFUNCTION("""COMPUTED_VALUE"""),"Mahasiswa")</f>
        <v>Mahasiswa</v>
      </c>
      <c r="I852" s="6" t="str">
        <f>IFERROR(__xludf.DUMMYFUNCTION("""COMPUTED_VALUE"""),"Anis Yaasir Musthofa")</f>
        <v>Anis Yaasir Musthofa</v>
      </c>
      <c r="J852" s="6" t="str">
        <f>IFERROR(__xludf.DUMMYFUNCTION("""COMPUTED_VALUE"""),"Budi Istiyanto")</f>
        <v>Budi Istiyanto</v>
      </c>
      <c r="K852" s="6"/>
      <c r="L852" s="6"/>
      <c r="M852" s="6"/>
      <c r="N852" s="6"/>
      <c r="O852" s="6"/>
      <c r="P852" s="10" t="str">
        <f>IFERROR(__xludf.DUMMYFUNCTION("""COMPUTED_VALUE"""),"Anis Yaasir Musthofa, Budi Istiyanto")</f>
        <v>Anis Yaasir Musthofa, Budi Istiyanto</v>
      </c>
      <c r="Q852" s="11" t="str">
        <f>IFERROR(__xludf.DUMMYFUNCTION("""COMPUTED_VALUE"""),"https://journal.areai.or.id/index.php/MENAWAN/article/view/853")</f>
        <v>https://journal.areai.or.id/index.php/MENAWAN/article/view/853</v>
      </c>
      <c r="R852" s="6"/>
    </row>
    <row r="853">
      <c r="A853" s="5">
        <f>IFERROR(__xludf.DUMMYFUNCTION("""COMPUTED_VALUE"""),852.0)</f>
        <v>852</v>
      </c>
      <c r="B853" s="6" t="str">
        <f>IFERROR(__xludf.DUMMYFUNCTION("""COMPUTED_VALUE"""),"Analisis Faktor Faktor yang Mempengaruhi Keputusan Investasi Mahasiswa di Surakarta")</f>
        <v>Analisis Faktor Faktor yang Mempengaruhi Keputusan Investasi Mahasiswa di Surakarta</v>
      </c>
      <c r="C853" s="7">
        <f>IFERROR(__xludf.DUMMYFUNCTION("""COMPUTED_VALUE"""),2024.0)</f>
        <v>2024</v>
      </c>
      <c r="D853" s="8" t="str">
        <f>IFERROR(__xludf.DUMMYFUNCTION("""COMPUTED_VALUE"""),"2023/2024")</f>
        <v>2023/2024</v>
      </c>
      <c r="E853" s="9">
        <f>IFERROR(__xludf.DUMMYFUNCTION("""COMPUTED_VALUE"""),45531.0)</f>
        <v>45531</v>
      </c>
      <c r="F853" s="5" t="str">
        <f>IFERROR(__xludf.DUMMYFUNCTION("""COMPUTED_VALUE"""),"Genap")</f>
        <v>Genap</v>
      </c>
      <c r="G853" s="5" t="str">
        <f>IFERROR(__xludf.DUMMYFUNCTION("""COMPUTED_VALUE"""),"Manajemen")</f>
        <v>Manajemen</v>
      </c>
      <c r="H853" s="10" t="str">
        <f>IFERROR(__xludf.DUMMYFUNCTION("""COMPUTED_VALUE"""),"Mahasiswa")</f>
        <v>Mahasiswa</v>
      </c>
      <c r="I853" s="6" t="str">
        <f>IFERROR(__xludf.DUMMYFUNCTION("""COMPUTED_VALUE"""),"Akbar Eka Murinda")</f>
        <v>Akbar Eka Murinda</v>
      </c>
      <c r="J853" s="6" t="str">
        <f>IFERROR(__xludf.DUMMYFUNCTION("""COMPUTED_VALUE"""),"Christiawan Hendratmoko")</f>
        <v>Christiawan Hendratmoko</v>
      </c>
      <c r="K853" s="6"/>
      <c r="L853" s="6"/>
      <c r="M853" s="6"/>
      <c r="N853" s="6"/>
      <c r="O853" s="6"/>
      <c r="P853" s="10" t="str">
        <f>IFERROR(__xludf.DUMMYFUNCTION("""COMPUTED_VALUE"""),"Akbar Eka Murinda, Christiawan Hendratmoko")</f>
        <v>Akbar Eka Murinda, Christiawan Hendratmoko</v>
      </c>
      <c r="Q853" s="11" t="str">
        <f>IFERROR(__xludf.DUMMYFUNCTION("""COMPUTED_VALUE"""),"https://repository.stiesurakarta.ac.id/submission/14025f77-dc64-4733-b81a-41865d958293")</f>
        <v>https://repository.stiesurakarta.ac.id/submission/14025f77-dc64-4733-b81a-41865d958293</v>
      </c>
      <c r="R853" s="6"/>
    </row>
    <row r="854">
      <c r="A854" s="5">
        <f>IFERROR(__xludf.DUMMYFUNCTION("""COMPUTED_VALUE"""),853.0)</f>
        <v>853</v>
      </c>
      <c r="B854" s="6" t="str">
        <f>IFERROR(__xludf.DUMMYFUNCTION("""COMPUTED_VALUE"""),"Pengaruh Pelatihan Akuntansi, Tingkat Pendidikan, Skala Usaha dan Umur Usaha Terhadap Penggunaan Informasi Akuntansi UMKM Kota Surakarta")</f>
        <v>Pengaruh Pelatihan Akuntansi, Tingkat Pendidikan, Skala Usaha dan Umur Usaha Terhadap Penggunaan Informasi Akuntansi UMKM Kota Surakarta</v>
      </c>
      <c r="C854" s="7">
        <f>IFERROR(__xludf.DUMMYFUNCTION("""COMPUTED_VALUE"""),2024.0)</f>
        <v>2024</v>
      </c>
      <c r="D854" s="8" t="str">
        <f>IFERROR(__xludf.DUMMYFUNCTION("""COMPUTED_VALUE"""),"2023/2024")</f>
        <v>2023/2024</v>
      </c>
      <c r="E854" s="9">
        <f>IFERROR(__xludf.DUMMYFUNCTION("""COMPUTED_VALUE"""),45531.0)</f>
        <v>45531</v>
      </c>
      <c r="F854" s="5" t="str">
        <f>IFERROR(__xludf.DUMMYFUNCTION("""COMPUTED_VALUE"""),"Genap")</f>
        <v>Genap</v>
      </c>
      <c r="G854" s="5" t="str">
        <f>IFERROR(__xludf.DUMMYFUNCTION("""COMPUTED_VALUE"""),"Akuntansi")</f>
        <v>Akuntansi</v>
      </c>
      <c r="H854" s="10" t="str">
        <f>IFERROR(__xludf.DUMMYFUNCTION("""COMPUTED_VALUE"""),"Mahasiswa")</f>
        <v>Mahasiswa</v>
      </c>
      <c r="I854" s="6" t="str">
        <f>IFERROR(__xludf.DUMMYFUNCTION("""COMPUTED_VALUE"""),"Ristia Dian Nugraheni")</f>
        <v>Ristia Dian Nugraheni</v>
      </c>
      <c r="J854" s="6" t="str">
        <f>IFERROR(__xludf.DUMMYFUNCTION("""COMPUTED_VALUE"""),"Arif Nugroho Rachman")</f>
        <v>Arif Nugroho Rachman</v>
      </c>
      <c r="K854" s="6"/>
      <c r="L854" s="6"/>
      <c r="M854" s="6"/>
      <c r="N854" s="6"/>
      <c r="O854" s="6"/>
      <c r="P854" s="10" t="str">
        <f>IFERROR(__xludf.DUMMYFUNCTION("""COMPUTED_VALUE"""),"Ristia Dian Nugraheni, Arif Nugroho Rachman")</f>
        <v>Ristia Dian Nugraheni, Arif Nugroho Rachman</v>
      </c>
      <c r="Q854" s="11" t="str">
        <f>IFERROR(__xludf.DUMMYFUNCTION("""COMPUTED_VALUE"""),"https://sunanbonang.org/index.php/miftah/article/view/241")</f>
        <v>https://sunanbonang.org/index.php/miftah/article/view/241</v>
      </c>
      <c r="R854" s="6"/>
    </row>
    <row r="855">
      <c r="A855" s="5">
        <f>IFERROR(__xludf.DUMMYFUNCTION("""COMPUTED_VALUE"""),854.0)</f>
        <v>854</v>
      </c>
      <c r="B855" s="6" t="str">
        <f>IFERROR(__xludf.DUMMYFUNCTION("""COMPUTED_VALUE"""),"Analisis Pengaruh Pelatihan Profesional, Pertimbangan Pasar Kerja dan Personalitas Terhadap Minat Mahasiswa Akuntansi Berkarir menjadi Akuntan Publik")</f>
        <v>Analisis Pengaruh Pelatihan Profesional, Pertimbangan Pasar Kerja dan Personalitas Terhadap Minat Mahasiswa Akuntansi Berkarir menjadi Akuntan Publik</v>
      </c>
      <c r="C855" s="7">
        <f>IFERROR(__xludf.DUMMYFUNCTION("""COMPUTED_VALUE"""),2024.0)</f>
        <v>2024</v>
      </c>
      <c r="D855" s="8" t="str">
        <f>IFERROR(__xludf.DUMMYFUNCTION("""COMPUTED_VALUE"""),"2023/2024")</f>
        <v>2023/2024</v>
      </c>
      <c r="E855" s="9">
        <f>IFERROR(__xludf.DUMMYFUNCTION("""COMPUTED_VALUE"""),45531.0)</f>
        <v>45531</v>
      </c>
      <c r="F855" s="5" t="str">
        <f>IFERROR(__xludf.DUMMYFUNCTION("""COMPUTED_VALUE"""),"Genap")</f>
        <v>Genap</v>
      </c>
      <c r="G855" s="5" t="str">
        <f>IFERROR(__xludf.DUMMYFUNCTION("""COMPUTED_VALUE"""),"Akuntansi")</f>
        <v>Akuntansi</v>
      </c>
      <c r="H855" s="10" t="str">
        <f>IFERROR(__xludf.DUMMYFUNCTION("""COMPUTED_VALUE"""),"Mahasiswa")</f>
        <v>Mahasiswa</v>
      </c>
      <c r="I855" s="6" t="str">
        <f>IFERROR(__xludf.DUMMYFUNCTION("""COMPUTED_VALUE"""),"Zabrina Della Simfony")</f>
        <v>Zabrina Della Simfony</v>
      </c>
      <c r="J855" s="6" t="str">
        <f>IFERROR(__xludf.DUMMYFUNCTION("""COMPUTED_VALUE"""),"Pardi")</f>
        <v>Pardi</v>
      </c>
      <c r="K855" s="6"/>
      <c r="L855" s="6"/>
      <c r="M855" s="6"/>
      <c r="N855" s="6"/>
      <c r="O855" s="6"/>
      <c r="P855" s="10" t="str">
        <f>IFERROR(__xludf.DUMMYFUNCTION("""COMPUTED_VALUE"""),"Zabrina Della Simfony, Pardi")</f>
        <v>Zabrina Della Simfony, Pardi</v>
      </c>
      <c r="Q855" s="11" t="str">
        <f>IFERROR(__xludf.DUMMYFUNCTION("""COMPUTED_VALUE"""),"https://repository.stiesurakarta.ac.id/submission/7292e269-518e-48ca-a765-591d7c3aeb99")</f>
        <v>https://repository.stiesurakarta.ac.id/submission/7292e269-518e-48ca-a765-591d7c3aeb99</v>
      </c>
      <c r="R855" s="6"/>
    </row>
    <row r="856">
      <c r="A856" s="5">
        <f>IFERROR(__xludf.DUMMYFUNCTION("""COMPUTED_VALUE"""),855.0)</f>
        <v>855</v>
      </c>
      <c r="B856" s="6" t="str">
        <f>IFERROR(__xludf.DUMMYFUNCTION("""COMPUTED_VALUE"""),"Analisis Pengaruh Online Customer Review, Fitur Produk, dan Garansi terhadap Keputusan Pembelian Laptop Gaming Asus Rog pada Mahasiswa di Solo Raya")</f>
        <v>Analisis Pengaruh Online Customer Review, Fitur Produk, dan Garansi terhadap Keputusan Pembelian Laptop Gaming Asus Rog pada Mahasiswa di Solo Raya</v>
      </c>
      <c r="C856" s="7">
        <f>IFERROR(__xludf.DUMMYFUNCTION("""COMPUTED_VALUE"""),2024.0)</f>
        <v>2024</v>
      </c>
      <c r="D856" s="8" t="str">
        <f>IFERROR(__xludf.DUMMYFUNCTION("""COMPUTED_VALUE"""),"2023/2024")</f>
        <v>2023/2024</v>
      </c>
      <c r="E856" s="9">
        <f>IFERROR(__xludf.DUMMYFUNCTION("""COMPUTED_VALUE"""),45532.0)</f>
        <v>45532</v>
      </c>
      <c r="F856" s="5" t="str">
        <f>IFERROR(__xludf.DUMMYFUNCTION("""COMPUTED_VALUE"""),"Genap")</f>
        <v>Genap</v>
      </c>
      <c r="G856" s="5" t="str">
        <f>IFERROR(__xludf.DUMMYFUNCTION("""COMPUTED_VALUE"""),"Manajemen")</f>
        <v>Manajemen</v>
      </c>
      <c r="H856" s="10" t="str">
        <f>IFERROR(__xludf.DUMMYFUNCTION("""COMPUTED_VALUE"""),"Mahasiswa")</f>
        <v>Mahasiswa</v>
      </c>
      <c r="I856" s="6" t="str">
        <f>IFERROR(__xludf.DUMMYFUNCTION("""COMPUTED_VALUE"""),"Daffa Danur Alfaraby")</f>
        <v>Daffa Danur Alfaraby</v>
      </c>
      <c r="J856" s="6" t="str">
        <f>IFERROR(__xludf.DUMMYFUNCTION("""COMPUTED_VALUE"""),"Aditya Liliyan")</f>
        <v>Aditya Liliyan</v>
      </c>
      <c r="K856" s="6"/>
      <c r="L856" s="6"/>
      <c r="M856" s="6"/>
      <c r="N856" s="6"/>
      <c r="O856" s="6"/>
      <c r="P856" s="10" t="str">
        <f>IFERROR(__xludf.DUMMYFUNCTION("""COMPUTED_VALUE"""),"Daffa Danur Alfaraby, Aditya Liliyan")</f>
        <v>Daffa Danur Alfaraby, Aditya Liliyan</v>
      </c>
      <c r="Q856" s="11" t="str">
        <f>IFERROR(__xludf.DUMMYFUNCTION("""COMPUTED_VALUE"""),"https://repository.stiesurakarta.ac.id/submission/13abc10f-4ef1-47f1-a7b9-be2c8c62f495")</f>
        <v>https://repository.stiesurakarta.ac.id/submission/13abc10f-4ef1-47f1-a7b9-be2c8c62f495</v>
      </c>
      <c r="R856" s="6"/>
    </row>
    <row r="857">
      <c r="A857" s="5">
        <f>IFERROR(__xludf.DUMMYFUNCTION("""COMPUTED_VALUE"""),856.0)</f>
        <v>856</v>
      </c>
      <c r="B857" s="6" t="str">
        <f>IFERROR(__xludf.DUMMYFUNCTION("""COMPUTED_VALUE"""),"PENGARUH KEBIJAKAN DIVIDEN, PROFITABILITAS, LIKUIDITAS, DAN GOOD CORPORATE GOVERNANCE TERHADAP HARGA SAHAM PERUSAHAAN SEKTOR ENERGI TAHUN 2019-2022")</f>
        <v>PENGARUH KEBIJAKAN DIVIDEN, PROFITABILITAS, LIKUIDITAS, DAN GOOD CORPORATE GOVERNANCE TERHADAP HARGA SAHAM PERUSAHAAN SEKTOR ENERGI TAHUN 2019-2022</v>
      </c>
      <c r="C857" s="7">
        <f>IFERROR(__xludf.DUMMYFUNCTION("""COMPUTED_VALUE"""),2024.0)</f>
        <v>2024</v>
      </c>
      <c r="D857" s="8" t="str">
        <f>IFERROR(__xludf.DUMMYFUNCTION("""COMPUTED_VALUE"""),"2023/2024")</f>
        <v>2023/2024</v>
      </c>
      <c r="E857" s="9">
        <f>IFERROR(__xludf.DUMMYFUNCTION("""COMPUTED_VALUE"""),45532.0)</f>
        <v>45532</v>
      </c>
      <c r="F857" s="5" t="str">
        <f>IFERROR(__xludf.DUMMYFUNCTION("""COMPUTED_VALUE"""),"Genap")</f>
        <v>Genap</v>
      </c>
      <c r="G857" s="5" t="str">
        <f>IFERROR(__xludf.DUMMYFUNCTION("""COMPUTED_VALUE"""),"Akuntansi")</f>
        <v>Akuntansi</v>
      </c>
      <c r="H857" s="10" t="str">
        <f>IFERROR(__xludf.DUMMYFUNCTION("""COMPUTED_VALUE"""),"Mahasiswa")</f>
        <v>Mahasiswa</v>
      </c>
      <c r="I857" s="6" t="str">
        <f>IFERROR(__xludf.DUMMYFUNCTION("""COMPUTED_VALUE"""),"Anita Dwi Oktora")</f>
        <v>Anita Dwi Oktora</v>
      </c>
      <c r="J857" s="6" t="str">
        <f>IFERROR(__xludf.DUMMYFUNCTION("""COMPUTED_VALUE"""),"Ismunawan")</f>
        <v>Ismunawan</v>
      </c>
      <c r="K857" s="6"/>
      <c r="L857" s="6"/>
      <c r="M857" s="6"/>
      <c r="N857" s="6"/>
      <c r="O857" s="6"/>
      <c r="P857" s="10" t="str">
        <f>IFERROR(__xludf.DUMMYFUNCTION("""COMPUTED_VALUE"""),"Anita Dwi Oktora, Ismunawan")</f>
        <v>Anita Dwi Oktora, Ismunawan</v>
      </c>
      <c r="Q857" s="11" t="str">
        <f>IFERROR(__xludf.DUMMYFUNCTION("""COMPUTED_VALUE"""),"https://repository.stiesurakarta.ac.id/submission/7c25586f-04db-40fa-84da-d1795d566bcc")</f>
        <v>https://repository.stiesurakarta.ac.id/submission/7c25586f-04db-40fa-84da-d1795d566bcc</v>
      </c>
      <c r="R857" s="6"/>
    </row>
    <row r="858">
      <c r="A858" s="5">
        <f>IFERROR(__xludf.DUMMYFUNCTION("""COMPUTED_VALUE"""),857.0)</f>
        <v>857</v>
      </c>
      <c r="B858" s="6" t="str">
        <f>IFERROR(__xludf.DUMMYFUNCTION("""COMPUTED_VALUE"""),"Analisis Kinerja Keuangan PT Garuda Food Putra Jaya pada Tahun 2020-2022")</f>
        <v>Analisis Kinerja Keuangan PT Garuda Food Putra Jaya pada Tahun 2020-2022</v>
      </c>
      <c r="C858" s="7">
        <f>IFERROR(__xludf.DUMMYFUNCTION("""COMPUTED_VALUE"""),2024.0)</f>
        <v>2024</v>
      </c>
      <c r="D858" s="8" t="str">
        <f>IFERROR(__xludf.DUMMYFUNCTION("""COMPUTED_VALUE"""),"2023/2024")</f>
        <v>2023/2024</v>
      </c>
      <c r="E858" s="9">
        <f>IFERROR(__xludf.DUMMYFUNCTION("""COMPUTED_VALUE"""),45533.0)</f>
        <v>45533</v>
      </c>
      <c r="F858" s="5" t="str">
        <f>IFERROR(__xludf.DUMMYFUNCTION("""COMPUTED_VALUE"""),"Genap")</f>
        <v>Genap</v>
      </c>
      <c r="G858" s="5" t="str">
        <f>IFERROR(__xludf.DUMMYFUNCTION("""COMPUTED_VALUE"""),"Manajemen")</f>
        <v>Manajemen</v>
      </c>
      <c r="H858" s="10" t="str">
        <f>IFERROR(__xludf.DUMMYFUNCTION("""COMPUTED_VALUE"""),"Mahasiswa")</f>
        <v>Mahasiswa</v>
      </c>
      <c r="I858" s="6" t="str">
        <f>IFERROR(__xludf.DUMMYFUNCTION("""COMPUTED_VALUE"""),"Fitri Susilowati")</f>
        <v>Fitri Susilowati</v>
      </c>
      <c r="J858" s="6" t="str">
        <f>IFERROR(__xludf.DUMMYFUNCTION("""COMPUTED_VALUE"""),"Ari Susanti")</f>
        <v>Ari Susanti</v>
      </c>
      <c r="K858" s="6"/>
      <c r="L858" s="6"/>
      <c r="M858" s="6"/>
      <c r="N858" s="6"/>
      <c r="O858" s="6"/>
      <c r="P858" s="10" t="str">
        <f>IFERROR(__xludf.DUMMYFUNCTION("""COMPUTED_VALUE"""),"Fitri Susilowati, Ari Susanti")</f>
        <v>Fitri Susilowati, Ari Susanti</v>
      </c>
      <c r="Q858" s="11" t="str">
        <f>IFERROR(__xludf.DUMMYFUNCTION("""COMPUTED_VALUE"""),"https://repository.stiesurakarta.ac.id/submission/ac7b24f1-3992-437c-92c2-802165187d16")</f>
        <v>https://repository.stiesurakarta.ac.id/submission/ac7b24f1-3992-437c-92c2-802165187d16</v>
      </c>
      <c r="R858" s="6"/>
    </row>
    <row r="859">
      <c r="A859" s="5">
        <f>IFERROR(__xludf.DUMMYFUNCTION("""COMPUTED_VALUE"""),858.0)</f>
        <v>858</v>
      </c>
      <c r="B859" s="6" t="str">
        <f>IFERROR(__xludf.DUMMYFUNCTION("""COMPUTED_VALUE"""),"PENGARUH PROMOTION, ONLINE CUSTOMER REVIEW DAN PRICE CONSCIOUSNESS TERHADAP PURCHASE INTENTION PADA PENGGUNA SHOPEE DI SOLO RAYA")</f>
        <v>PENGARUH PROMOTION, ONLINE CUSTOMER REVIEW DAN PRICE CONSCIOUSNESS TERHADAP PURCHASE INTENTION PADA PENGGUNA SHOPEE DI SOLO RAYA</v>
      </c>
      <c r="C859" s="7">
        <f>IFERROR(__xludf.DUMMYFUNCTION("""COMPUTED_VALUE"""),2024.0)</f>
        <v>2024</v>
      </c>
      <c r="D859" s="8" t="str">
        <f>IFERROR(__xludf.DUMMYFUNCTION("""COMPUTED_VALUE"""),"2023/2024")</f>
        <v>2023/2024</v>
      </c>
      <c r="E859" s="9">
        <f>IFERROR(__xludf.DUMMYFUNCTION("""COMPUTED_VALUE"""),45535.0)</f>
        <v>45535</v>
      </c>
      <c r="F859" s="5" t="str">
        <f>IFERROR(__xludf.DUMMYFUNCTION("""COMPUTED_VALUE"""),"Genap")</f>
        <v>Genap</v>
      </c>
      <c r="G859" s="5" t="str">
        <f>IFERROR(__xludf.DUMMYFUNCTION("""COMPUTED_VALUE"""),"Manajemen")</f>
        <v>Manajemen</v>
      </c>
      <c r="H859" s="10" t="str">
        <f>IFERROR(__xludf.DUMMYFUNCTION("""COMPUTED_VALUE"""),"Mahasiswa")</f>
        <v>Mahasiswa</v>
      </c>
      <c r="I859" s="6" t="str">
        <f>IFERROR(__xludf.DUMMYFUNCTION("""COMPUTED_VALUE"""),"Syaskia Moethya Aulia Az’zahra")</f>
        <v>Syaskia Moethya Aulia Az’zahra</v>
      </c>
      <c r="J859" s="6" t="str">
        <f>IFERROR(__xludf.DUMMYFUNCTION("""COMPUTED_VALUE"""),"Budi Istiyanto")</f>
        <v>Budi Istiyanto</v>
      </c>
      <c r="K859" s="6"/>
      <c r="L859" s="6"/>
      <c r="M859" s="6"/>
      <c r="N859" s="6"/>
      <c r="O859" s="6"/>
      <c r="P859" s="10" t="str">
        <f>IFERROR(__xludf.DUMMYFUNCTION("""COMPUTED_VALUE"""),"Syaskia Moethya Aulia Az’zahra, Budi Istiyanto")</f>
        <v>Syaskia Moethya Aulia Az’zahra, Budi Istiyanto</v>
      </c>
      <c r="Q859" s="11" t="str">
        <f>IFERROR(__xludf.DUMMYFUNCTION("""COMPUTED_VALUE"""),"https://ejurnal.kampusakademik.co.id/index.php/jiem/article/view/2506")</f>
        <v>https://ejurnal.kampusakademik.co.id/index.php/jiem/article/view/2506</v>
      </c>
      <c r="R859" s="6"/>
    </row>
    <row r="860">
      <c r="A860" s="5">
        <f>IFERROR(__xludf.DUMMYFUNCTION("""COMPUTED_VALUE"""),859.0)</f>
        <v>859</v>
      </c>
      <c r="B860" s="6" t="str">
        <f>IFERROR(__xludf.DUMMYFUNCTION("""COMPUTED_VALUE"""),"Analisis Fundamental terhadap Harga Saham pada Perusahaan Sub Sektor Teknologi Periode 2021-2023")</f>
        <v>Analisis Fundamental terhadap Harga Saham pada Perusahaan Sub Sektor Teknologi Periode 2021-2023</v>
      </c>
      <c r="C860" s="7">
        <f>IFERROR(__xludf.DUMMYFUNCTION("""COMPUTED_VALUE"""),2024.0)</f>
        <v>2024</v>
      </c>
      <c r="D860" s="8" t="str">
        <f>IFERROR(__xludf.DUMMYFUNCTION("""COMPUTED_VALUE"""),"2023/2024")</f>
        <v>2023/2024</v>
      </c>
      <c r="E860" s="9">
        <f>IFERROR(__xludf.DUMMYFUNCTION("""COMPUTED_VALUE"""),45537.0)</f>
        <v>45537</v>
      </c>
      <c r="F860" s="5" t="str">
        <f>IFERROR(__xludf.DUMMYFUNCTION("""COMPUTED_VALUE"""),"Genap")</f>
        <v>Genap</v>
      </c>
      <c r="G860" s="5" t="str">
        <f>IFERROR(__xludf.DUMMYFUNCTION("""COMPUTED_VALUE"""),"Akuntansi")</f>
        <v>Akuntansi</v>
      </c>
      <c r="H860" s="10" t="str">
        <f>IFERROR(__xludf.DUMMYFUNCTION("""COMPUTED_VALUE"""),"Mahasiswa")</f>
        <v>Mahasiswa</v>
      </c>
      <c r="I860" s="6" t="str">
        <f>IFERROR(__xludf.DUMMYFUNCTION("""COMPUTED_VALUE"""),"Yusridza Noor Prambudi")</f>
        <v>Yusridza Noor Prambudi</v>
      </c>
      <c r="J860" s="6" t="str">
        <f>IFERROR(__xludf.DUMMYFUNCTION("""COMPUTED_VALUE"""),"Dewi Ika Octavia")</f>
        <v>Dewi Ika Octavia</v>
      </c>
      <c r="K860" s="6"/>
      <c r="L860" s="6"/>
      <c r="M860" s="6"/>
      <c r="N860" s="6"/>
      <c r="O860" s="6"/>
      <c r="P860" s="10" t="str">
        <f>IFERROR(__xludf.DUMMYFUNCTION("""COMPUTED_VALUE"""),"Yusridza Noor Prambudi, Dewi Ika Octavia")</f>
        <v>Yusridza Noor Prambudi, Dewi Ika Octavia</v>
      </c>
      <c r="Q860" s="11" t="str">
        <f>IFERROR(__xludf.DUMMYFUNCTION("""COMPUTED_VALUE"""),"https://repository.stiesurakarta.ac.id/submission/6164be24-372d-4c72-8aa8-dac3756fa6c5")</f>
        <v>https://repository.stiesurakarta.ac.id/submission/6164be24-372d-4c72-8aa8-dac3756fa6c5</v>
      </c>
      <c r="R860" s="6"/>
    </row>
    <row r="861">
      <c r="A861" s="5">
        <f>IFERROR(__xludf.DUMMYFUNCTION("""COMPUTED_VALUE"""),860.0)</f>
        <v>860</v>
      </c>
      <c r="B861" s="6" t="str">
        <f>IFERROR(__xludf.DUMMYFUNCTION("""COMPUTED_VALUE"""),"Pengaruh Harga, Desain Produk, dan Kualitas Produk terhadap Keputusan Pembelian Sepatu Futsal Ortuseight di Kota Solo")</f>
        <v>Pengaruh Harga, Desain Produk, dan Kualitas Produk terhadap Keputusan Pembelian Sepatu Futsal Ortuseight di Kota Solo</v>
      </c>
      <c r="C861" s="7">
        <f>IFERROR(__xludf.DUMMYFUNCTION("""COMPUTED_VALUE"""),2024.0)</f>
        <v>2024</v>
      </c>
      <c r="D861" s="8" t="str">
        <f>IFERROR(__xludf.DUMMYFUNCTION("""COMPUTED_VALUE"""),"2023/2024")</f>
        <v>2023/2024</v>
      </c>
      <c r="E861" s="9">
        <f>IFERROR(__xludf.DUMMYFUNCTION("""COMPUTED_VALUE"""),45539.0)</f>
        <v>45539</v>
      </c>
      <c r="F861" s="5" t="str">
        <f>IFERROR(__xludf.DUMMYFUNCTION("""COMPUTED_VALUE"""),"Genap")</f>
        <v>Genap</v>
      </c>
      <c r="G861" s="5" t="str">
        <f>IFERROR(__xludf.DUMMYFUNCTION("""COMPUTED_VALUE"""),"Manajemen")</f>
        <v>Manajemen</v>
      </c>
      <c r="H861" s="10" t="str">
        <f>IFERROR(__xludf.DUMMYFUNCTION("""COMPUTED_VALUE"""),"Mahasiswa")</f>
        <v>Mahasiswa</v>
      </c>
      <c r="I861" s="6" t="str">
        <f>IFERROR(__xludf.DUMMYFUNCTION("""COMPUTED_VALUE"""),"Luqmanul Hakim Priyanto")</f>
        <v>Luqmanul Hakim Priyanto</v>
      </c>
      <c r="J861" s="6" t="str">
        <f>IFERROR(__xludf.DUMMYFUNCTION("""COMPUTED_VALUE"""),"Aditya Liliyan")</f>
        <v>Aditya Liliyan</v>
      </c>
      <c r="K861" s="6"/>
      <c r="L861" s="6"/>
      <c r="M861" s="6"/>
      <c r="N861" s="6"/>
      <c r="O861" s="6"/>
      <c r="P861" s="10" t="str">
        <f>IFERROR(__xludf.DUMMYFUNCTION("""COMPUTED_VALUE"""),"Luqmanul Hakim Priyanto, Aditya Liliyan")</f>
        <v>Luqmanul Hakim Priyanto, Aditya Liliyan</v>
      </c>
      <c r="Q861" s="11" t="str">
        <f>IFERROR(__xludf.DUMMYFUNCTION("""COMPUTED_VALUE"""),"https://repository.stiesurakarta.ac.id/submission/17c3af7c-d03a-43fe-90bf-3db5efac6690")</f>
        <v>https://repository.stiesurakarta.ac.id/submission/17c3af7c-d03a-43fe-90bf-3db5efac6690</v>
      </c>
      <c r="R861" s="6"/>
    </row>
    <row r="862">
      <c r="A862" s="5">
        <f>IFERROR(__xludf.DUMMYFUNCTION("""COMPUTED_VALUE"""),861.0)</f>
        <v>861</v>
      </c>
      <c r="B862" s="6" t="str">
        <f>IFERROR(__xludf.DUMMYFUNCTION("""COMPUTED_VALUE"""),"Pengaruh Kualitas Produk, Promosi dan kepercayaan terhadap Keputusan Pembelian pada E-Commerce Shopee Pada Konsumen di Surakarta")</f>
        <v>Pengaruh Kualitas Produk, Promosi dan kepercayaan terhadap Keputusan Pembelian pada E-Commerce Shopee Pada Konsumen di Surakarta</v>
      </c>
      <c r="C862" s="7">
        <f>IFERROR(__xludf.DUMMYFUNCTION("""COMPUTED_VALUE"""),2024.0)</f>
        <v>2024</v>
      </c>
      <c r="D862" s="8" t="str">
        <f>IFERROR(__xludf.DUMMYFUNCTION("""COMPUTED_VALUE"""),"2023/2024")</f>
        <v>2023/2024</v>
      </c>
      <c r="E862" s="9">
        <f>IFERROR(__xludf.DUMMYFUNCTION("""COMPUTED_VALUE"""),45540.0)</f>
        <v>45540</v>
      </c>
      <c r="F862" s="5" t="str">
        <f>IFERROR(__xludf.DUMMYFUNCTION("""COMPUTED_VALUE"""),"Genap")</f>
        <v>Genap</v>
      </c>
      <c r="G862" s="5" t="str">
        <f>IFERROR(__xludf.DUMMYFUNCTION("""COMPUTED_VALUE"""),"Manajemen")</f>
        <v>Manajemen</v>
      </c>
      <c r="H862" s="10" t="str">
        <f>IFERROR(__xludf.DUMMYFUNCTION("""COMPUTED_VALUE"""),"Mahasiswa")</f>
        <v>Mahasiswa</v>
      </c>
      <c r="I862" s="6" t="str">
        <f>IFERROR(__xludf.DUMMYFUNCTION("""COMPUTED_VALUE"""),"Zefanya Putra Prakosa")</f>
        <v>Zefanya Putra Prakosa</v>
      </c>
      <c r="J862" s="6" t="str">
        <f>IFERROR(__xludf.DUMMYFUNCTION("""COMPUTED_VALUE"""),"Aditya Liliyan")</f>
        <v>Aditya Liliyan</v>
      </c>
      <c r="K862" s="6"/>
      <c r="L862" s="6"/>
      <c r="M862" s="6"/>
      <c r="N862" s="6"/>
      <c r="O862" s="6"/>
      <c r="P862" s="10" t="str">
        <f>IFERROR(__xludf.DUMMYFUNCTION("""COMPUTED_VALUE"""),"Zefanya Putra Prakosa, Aditya Liliyan")</f>
        <v>Zefanya Putra Prakosa, Aditya Liliyan</v>
      </c>
      <c r="Q862" s="11" t="str">
        <f>IFERROR(__xludf.DUMMYFUNCTION("""COMPUTED_VALUE"""),"https://repository.stiesurakarta.ac.id/submission/dac31382-7a23-4a67-9b7a-4e1b733d38ca")</f>
        <v>https://repository.stiesurakarta.ac.id/submission/dac31382-7a23-4a67-9b7a-4e1b733d38ca</v>
      </c>
      <c r="R862" s="6"/>
    </row>
    <row r="863">
      <c r="A863" s="5">
        <f>IFERROR(__xludf.DUMMYFUNCTION("""COMPUTED_VALUE"""),862.0)</f>
        <v>862</v>
      </c>
      <c r="B863" s="6" t="str">
        <f>IFERROR(__xludf.DUMMYFUNCTION("""COMPUTED_VALUE"""),"Analisis Efektivitas dan Kontribusi Penerimaan Pajak Restoran terhadap Pendapatan Asli Daerah Kabupaten Sukoharjo")</f>
        <v>Analisis Efektivitas dan Kontribusi Penerimaan Pajak Restoran terhadap Pendapatan Asli Daerah Kabupaten Sukoharjo</v>
      </c>
      <c r="C863" s="7">
        <f>IFERROR(__xludf.DUMMYFUNCTION("""COMPUTED_VALUE"""),2024.0)</f>
        <v>2024</v>
      </c>
      <c r="D863" s="8" t="str">
        <f>IFERROR(__xludf.DUMMYFUNCTION("""COMPUTED_VALUE"""),"2024/2025")</f>
        <v>2024/2025</v>
      </c>
      <c r="E863" s="9">
        <f>IFERROR(__xludf.DUMMYFUNCTION("""COMPUTED_VALUE"""),45544.0)</f>
        <v>45544</v>
      </c>
      <c r="F863" s="5" t="str">
        <f>IFERROR(__xludf.DUMMYFUNCTION("""COMPUTED_VALUE"""),"Ganjil")</f>
        <v>Ganjil</v>
      </c>
      <c r="G863" s="5" t="str">
        <f>IFERROR(__xludf.DUMMYFUNCTION("""COMPUTED_VALUE"""),"Manajemen")</f>
        <v>Manajemen</v>
      </c>
      <c r="H863" s="10" t="str">
        <f>IFERROR(__xludf.DUMMYFUNCTION("""COMPUTED_VALUE"""),"Mahasiswa")</f>
        <v>Mahasiswa</v>
      </c>
      <c r="I863" s="6" t="str">
        <f>IFERROR(__xludf.DUMMYFUNCTION("""COMPUTED_VALUE"""),"Septi Dyah Ayu Pangesti")</f>
        <v>Septi Dyah Ayu Pangesti</v>
      </c>
      <c r="J863" s="6" t="str">
        <f>IFERROR(__xludf.DUMMYFUNCTION("""COMPUTED_VALUE"""),"Ari Susanti")</f>
        <v>Ari Susanti</v>
      </c>
      <c r="K863" s="6"/>
      <c r="L863" s="6"/>
      <c r="M863" s="6"/>
      <c r="N863" s="6"/>
      <c r="O863" s="6"/>
      <c r="P863" s="10" t="str">
        <f>IFERROR(__xludf.DUMMYFUNCTION("""COMPUTED_VALUE"""),"Septi Dyah Ayu Pangesti, Ari Susanti")</f>
        <v>Septi Dyah Ayu Pangesti, Ari Susanti</v>
      </c>
      <c r="Q863" s="11" t="str">
        <f>IFERROR(__xludf.DUMMYFUNCTION("""COMPUTED_VALUE"""),"https://repository.stiesurakarta.ac.id/submission/c54c51a7-8e55-48f1-872c-e74a917eaf34")</f>
        <v>https://repository.stiesurakarta.ac.id/submission/c54c51a7-8e55-48f1-872c-e74a917eaf34</v>
      </c>
      <c r="R863" s="6"/>
    </row>
    <row r="864">
      <c r="A864" s="5">
        <f>IFERROR(__xludf.DUMMYFUNCTION("""COMPUTED_VALUE"""),863.0)</f>
        <v>863</v>
      </c>
      <c r="B864" s="6" t="str">
        <f>IFERROR(__xludf.DUMMYFUNCTION("""COMPUTED_VALUE"""),"Pengaruh Gaya Hidup, Kontrol Diri dan Pendapatan terhadap Pengelolaan Keuangan Mahasiswa STIE Surakarta")</f>
        <v>Pengaruh Gaya Hidup, Kontrol Diri dan Pendapatan terhadap Pengelolaan Keuangan Mahasiswa STIE Surakarta</v>
      </c>
      <c r="C864" s="7">
        <f>IFERROR(__xludf.DUMMYFUNCTION("""COMPUTED_VALUE"""),2024.0)</f>
        <v>2024</v>
      </c>
      <c r="D864" s="8" t="str">
        <f>IFERROR(__xludf.DUMMYFUNCTION("""COMPUTED_VALUE"""),"2024/2025")</f>
        <v>2024/2025</v>
      </c>
      <c r="E864" s="9">
        <f>IFERROR(__xludf.DUMMYFUNCTION("""COMPUTED_VALUE"""),45544.0)</f>
        <v>45544</v>
      </c>
      <c r="F864" s="5" t="str">
        <f>IFERROR(__xludf.DUMMYFUNCTION("""COMPUTED_VALUE"""),"Ganjil")</f>
        <v>Ganjil</v>
      </c>
      <c r="G864" s="5" t="str">
        <f>IFERROR(__xludf.DUMMYFUNCTION("""COMPUTED_VALUE"""),"Manajemen")</f>
        <v>Manajemen</v>
      </c>
      <c r="H864" s="10" t="str">
        <f>IFERROR(__xludf.DUMMYFUNCTION("""COMPUTED_VALUE"""),"Mahasiswa")</f>
        <v>Mahasiswa</v>
      </c>
      <c r="I864" s="6" t="str">
        <f>IFERROR(__xludf.DUMMYFUNCTION("""COMPUTED_VALUE"""),"Hana Margareta")</f>
        <v>Hana Margareta</v>
      </c>
      <c r="J864" s="6" t="str">
        <f>IFERROR(__xludf.DUMMYFUNCTION("""COMPUTED_VALUE"""),"Ari Susanti")</f>
        <v>Ari Susanti</v>
      </c>
      <c r="K864" s="6"/>
      <c r="L864" s="6"/>
      <c r="M864" s="6"/>
      <c r="N864" s="6"/>
      <c r="O864" s="6"/>
      <c r="P864" s="10" t="str">
        <f>IFERROR(__xludf.DUMMYFUNCTION("""COMPUTED_VALUE"""),"Hana Margareta, Ari Susanti")</f>
        <v>Hana Margareta, Ari Susanti</v>
      </c>
      <c r="Q864" s="11" t="str">
        <f>IFERROR(__xludf.DUMMYFUNCTION("""COMPUTED_VALUE"""),"https://repository.stiesurakarta.ac.id/submission/9199beff-075f-44bd-b96b-e6de100cc5d3")</f>
        <v>https://repository.stiesurakarta.ac.id/submission/9199beff-075f-44bd-b96b-e6de100cc5d3</v>
      </c>
      <c r="R864" s="6"/>
    </row>
    <row r="865">
      <c r="A865" s="5">
        <f>IFERROR(__xludf.DUMMYFUNCTION("""COMPUTED_VALUE"""),864.0)</f>
        <v>864</v>
      </c>
      <c r="B865" s="6" t="str">
        <f>IFERROR(__xludf.DUMMYFUNCTION("""COMPUTED_VALUE"""),"Akuntansi Syariah")</f>
        <v>Akuntansi Syariah</v>
      </c>
      <c r="C865" s="7">
        <f>IFERROR(__xludf.DUMMYFUNCTION("""COMPUTED_VALUE"""),2024.0)</f>
        <v>2024</v>
      </c>
      <c r="D865" s="8" t="str">
        <f>IFERROR(__xludf.DUMMYFUNCTION("""COMPUTED_VALUE"""),"2024/2025")</f>
        <v>2024/2025</v>
      </c>
      <c r="E865" s="9">
        <f>IFERROR(__xludf.DUMMYFUNCTION("""COMPUTED_VALUE"""),45544.0)</f>
        <v>45544</v>
      </c>
      <c r="F865" s="5" t="str">
        <f>IFERROR(__xludf.DUMMYFUNCTION("""COMPUTED_VALUE"""),"Ganjil")</f>
        <v>Ganjil</v>
      </c>
      <c r="G865" s="5" t="str">
        <f>IFERROR(__xludf.DUMMYFUNCTION("""COMPUTED_VALUE"""),"Akuntansi")</f>
        <v>Akuntansi</v>
      </c>
      <c r="H865" s="10" t="str">
        <f>IFERROR(__xludf.DUMMYFUNCTION("""COMPUTED_VALUE"""),"Dosen")</f>
        <v>Dosen</v>
      </c>
      <c r="I865" s="6" t="str">
        <f>IFERROR(__xludf.DUMMYFUNCTION("""COMPUTED_VALUE"""),"Dewi Ika Octavia")</f>
        <v>Dewi Ika Octavia</v>
      </c>
      <c r="J865" s="6"/>
      <c r="K865" s="6"/>
      <c r="L865" s="6"/>
      <c r="M865" s="6"/>
      <c r="N865" s="6"/>
      <c r="O865" s="6"/>
      <c r="P865" s="10"/>
      <c r="Q865" s="11" t="str">
        <f>IFERROR(__xludf.DUMMYFUNCTION("""COMPUTED_VALUE"""),"https://repository.penerbiteureka.com/publications/579969/akuntansi-syariah")</f>
        <v>https://repository.penerbiteureka.com/publications/579969/akuntansi-syariah</v>
      </c>
      <c r="R865" s="6"/>
    </row>
    <row r="866">
      <c r="A866" s="5">
        <f>IFERROR(__xludf.DUMMYFUNCTION("""COMPUTED_VALUE"""),865.0)</f>
        <v>865</v>
      </c>
      <c r="B866" s="6" t="str">
        <f>IFERROR(__xludf.DUMMYFUNCTION("""COMPUTED_VALUE"""),"Pengaruh Brand Ambasador, Brand Image dan Product Quality terhadap Keputusan Pembelian Produk Scarlett Whitening")</f>
        <v>Pengaruh Brand Ambasador, Brand Image dan Product Quality terhadap Keputusan Pembelian Produk Scarlett Whitening</v>
      </c>
      <c r="C866" s="7">
        <f>IFERROR(__xludf.DUMMYFUNCTION("""COMPUTED_VALUE"""),2024.0)</f>
        <v>2024</v>
      </c>
      <c r="D866" s="8" t="str">
        <f>IFERROR(__xludf.DUMMYFUNCTION("""COMPUTED_VALUE"""),"2024/2025")</f>
        <v>2024/2025</v>
      </c>
      <c r="E866" s="9">
        <f>IFERROR(__xludf.DUMMYFUNCTION("""COMPUTED_VALUE"""),45545.0)</f>
        <v>45545</v>
      </c>
      <c r="F866" s="5" t="str">
        <f>IFERROR(__xludf.DUMMYFUNCTION("""COMPUTED_VALUE"""),"Ganjil")</f>
        <v>Ganjil</v>
      </c>
      <c r="G866" s="5" t="str">
        <f>IFERROR(__xludf.DUMMYFUNCTION("""COMPUTED_VALUE"""),"Akuntansi")</f>
        <v>Akuntansi</v>
      </c>
      <c r="H866" s="10" t="str">
        <f>IFERROR(__xludf.DUMMYFUNCTION("""COMPUTED_VALUE"""),"Mahasiswa")</f>
        <v>Mahasiswa</v>
      </c>
      <c r="I866" s="6" t="str">
        <f>IFERROR(__xludf.DUMMYFUNCTION("""COMPUTED_VALUE"""),"Ayu Antika")</f>
        <v>Ayu Antika</v>
      </c>
      <c r="J866" s="6" t="str">
        <f>IFERROR(__xludf.DUMMYFUNCTION("""COMPUTED_VALUE"""),"Tri Ratna Pamikatsih")</f>
        <v>Tri Ratna Pamikatsih</v>
      </c>
      <c r="K866" s="6"/>
      <c r="L866" s="6"/>
      <c r="M866" s="6"/>
      <c r="N866" s="6"/>
      <c r="O866" s="6"/>
      <c r="P866" s="10" t="str">
        <f>IFERROR(__xludf.DUMMYFUNCTION("""COMPUTED_VALUE"""),"Ayu Antika, Tri Ratna Pamikatsih")</f>
        <v>Ayu Antika, Tri Ratna Pamikatsih</v>
      </c>
      <c r="Q866" s="11" t="str">
        <f>IFERROR(__xludf.DUMMYFUNCTION("""COMPUTED_VALUE"""),"https://repository.stiesurakarta.ac.id/submission/49340423-2ab3-42c2-ac80-de1e8b2c5047")</f>
        <v>https://repository.stiesurakarta.ac.id/submission/49340423-2ab3-42c2-ac80-de1e8b2c5047</v>
      </c>
      <c r="R866" s="6"/>
    </row>
    <row r="867">
      <c r="A867" s="5">
        <f>IFERROR(__xludf.DUMMYFUNCTION("""COMPUTED_VALUE"""),866.0)</f>
        <v>866</v>
      </c>
      <c r="B867" s="6" t="str">
        <f>IFERROR(__xludf.DUMMYFUNCTION("""COMPUTED_VALUE"""),"Pengaruh Sosialisasi, Ukuran Usaha dan Latar Belakang Pendidikan terhadap Pemahaman Akuntansi (Survei pada UMKM Tahun 2023 di Kecamatan Kartasura Kabupaten Sukoharjo)")</f>
        <v>Pengaruh Sosialisasi, Ukuran Usaha dan Latar Belakang Pendidikan terhadap Pemahaman Akuntansi (Survei pada UMKM Tahun 2023 di Kecamatan Kartasura Kabupaten Sukoharjo)</v>
      </c>
      <c r="C867" s="7">
        <f>IFERROR(__xludf.DUMMYFUNCTION("""COMPUTED_VALUE"""),2024.0)</f>
        <v>2024</v>
      </c>
      <c r="D867" s="8" t="str">
        <f>IFERROR(__xludf.DUMMYFUNCTION("""COMPUTED_VALUE"""),"2024/2025")</f>
        <v>2024/2025</v>
      </c>
      <c r="E867" s="9">
        <f>IFERROR(__xludf.DUMMYFUNCTION("""COMPUTED_VALUE"""),45545.0)</f>
        <v>45545</v>
      </c>
      <c r="F867" s="5" t="str">
        <f>IFERROR(__xludf.DUMMYFUNCTION("""COMPUTED_VALUE"""),"Ganjil")</f>
        <v>Ganjil</v>
      </c>
      <c r="G867" s="5" t="str">
        <f>IFERROR(__xludf.DUMMYFUNCTION("""COMPUTED_VALUE"""),"Akuntansi")</f>
        <v>Akuntansi</v>
      </c>
      <c r="H867" s="10" t="str">
        <f>IFERROR(__xludf.DUMMYFUNCTION("""COMPUTED_VALUE"""),"Mahasiswa")</f>
        <v>Mahasiswa</v>
      </c>
      <c r="I867" s="6" t="str">
        <f>IFERROR(__xludf.DUMMYFUNCTION("""COMPUTED_VALUE"""),"Latifah Nur Fadhilah")</f>
        <v>Latifah Nur Fadhilah</v>
      </c>
      <c r="J867" s="6" t="str">
        <f>IFERROR(__xludf.DUMMYFUNCTION("""COMPUTED_VALUE"""),"Dewi Ika Octavia")</f>
        <v>Dewi Ika Octavia</v>
      </c>
      <c r="K867" s="6"/>
      <c r="L867" s="6"/>
      <c r="M867" s="6"/>
      <c r="N867" s="6"/>
      <c r="O867" s="6"/>
      <c r="P867" s="10" t="str">
        <f>IFERROR(__xludf.DUMMYFUNCTION("""COMPUTED_VALUE"""),"Latifah Nur Fadhilah, Dewi Ika Octavia")</f>
        <v>Latifah Nur Fadhilah, Dewi Ika Octavia</v>
      </c>
      <c r="Q867" s="11" t="str">
        <f>IFERROR(__xludf.DUMMYFUNCTION("""COMPUTED_VALUE"""),"https://repository.stiesurakarta.ac.id/submission/a010821e-efe8-42bb-882f-b78910e53e5a")</f>
        <v>https://repository.stiesurakarta.ac.id/submission/a010821e-efe8-42bb-882f-b78910e53e5a</v>
      </c>
      <c r="R867" s="6"/>
    </row>
    <row r="868">
      <c r="A868" s="5">
        <f>IFERROR(__xludf.DUMMYFUNCTION("""COMPUTED_VALUE"""),867.0)</f>
        <v>867</v>
      </c>
      <c r="B868" s="6" t="str">
        <f>IFERROR(__xludf.DUMMYFUNCTION("""COMPUTED_VALUE"""),"Pengaruh Kinerja Keuangan, Struktur Modal, dan Ukuran Perusahaan terhadap Harga Saham Syariah pada Jakarta Islamic Index")</f>
        <v>Pengaruh Kinerja Keuangan, Struktur Modal, dan Ukuran Perusahaan terhadap Harga Saham Syariah pada Jakarta Islamic Index</v>
      </c>
      <c r="C868" s="7">
        <f>IFERROR(__xludf.DUMMYFUNCTION("""COMPUTED_VALUE"""),2024.0)</f>
        <v>2024</v>
      </c>
      <c r="D868" s="8" t="str">
        <f>IFERROR(__xludf.DUMMYFUNCTION("""COMPUTED_VALUE"""),"2024/2025")</f>
        <v>2024/2025</v>
      </c>
      <c r="E868" s="9">
        <f>IFERROR(__xludf.DUMMYFUNCTION("""COMPUTED_VALUE"""),45545.0)</f>
        <v>45545</v>
      </c>
      <c r="F868" s="5" t="str">
        <f>IFERROR(__xludf.DUMMYFUNCTION("""COMPUTED_VALUE"""),"Ganjil")</f>
        <v>Ganjil</v>
      </c>
      <c r="G868" s="5" t="str">
        <f>IFERROR(__xludf.DUMMYFUNCTION("""COMPUTED_VALUE"""),"Akuntansi")</f>
        <v>Akuntansi</v>
      </c>
      <c r="H868" s="10" t="str">
        <f>IFERROR(__xludf.DUMMYFUNCTION("""COMPUTED_VALUE"""),"Mahasiswa")</f>
        <v>Mahasiswa</v>
      </c>
      <c r="I868" s="6" t="str">
        <f>IFERROR(__xludf.DUMMYFUNCTION("""COMPUTED_VALUE"""),"Arfi Dwi Astutiningtias")</f>
        <v>Arfi Dwi Astutiningtias</v>
      </c>
      <c r="J868" s="6" t="str">
        <f>IFERROR(__xludf.DUMMYFUNCTION("""COMPUTED_VALUE"""),"Dewi Ika Octavia")</f>
        <v>Dewi Ika Octavia</v>
      </c>
      <c r="K868" s="6"/>
      <c r="L868" s="6"/>
      <c r="M868" s="6"/>
      <c r="N868" s="6"/>
      <c r="O868" s="6"/>
      <c r="P868" s="10" t="str">
        <f>IFERROR(__xludf.DUMMYFUNCTION("""COMPUTED_VALUE"""),"Arfi Dwi Astutiningtias, Dewi Ika Octavia")</f>
        <v>Arfi Dwi Astutiningtias, Dewi Ika Octavia</v>
      </c>
      <c r="Q868" s="11" t="str">
        <f>IFERROR(__xludf.DUMMYFUNCTION("""COMPUTED_VALUE"""),"https://repository.stiesurakarta.ac.id/submission/21a66bdb-0bd0-43db-8588-5912b610a1d3")</f>
        <v>https://repository.stiesurakarta.ac.id/submission/21a66bdb-0bd0-43db-8588-5912b610a1d3</v>
      </c>
      <c r="R868" s="6"/>
    </row>
    <row r="869">
      <c r="A869" s="5">
        <f>IFERROR(__xludf.DUMMYFUNCTION("""COMPUTED_VALUE"""),868.0)</f>
        <v>868</v>
      </c>
      <c r="B869" s="6" t="str">
        <f>IFERROR(__xludf.DUMMYFUNCTION("""COMPUTED_VALUE"""),"PENGARUH KEBIJAKAN HUTANG, PROFITABILITAS DAN LIKUIDITAS TERHADAP KEBIJAKAN DIVIDEN (STUDI PADA SEKTOR PROPERTI, REAL ESTATE DAN KONTRUKSI BANGUNAN YANG TERDAFTAR DI BURSA EFEK INDONESIA PERIODE 2020-2023)")</f>
        <v>PENGARUH KEBIJAKAN HUTANG, PROFITABILITAS DAN LIKUIDITAS TERHADAP KEBIJAKAN DIVIDEN (STUDI PADA SEKTOR PROPERTI, REAL ESTATE DAN KONTRUKSI BANGUNAN YANG TERDAFTAR DI BURSA EFEK INDONESIA PERIODE 2020-2023)</v>
      </c>
      <c r="C869" s="7">
        <f>IFERROR(__xludf.DUMMYFUNCTION("""COMPUTED_VALUE"""),2024.0)</f>
        <v>2024</v>
      </c>
      <c r="D869" s="8" t="str">
        <f>IFERROR(__xludf.DUMMYFUNCTION("""COMPUTED_VALUE"""),"2024/2025")</f>
        <v>2024/2025</v>
      </c>
      <c r="E869" s="9">
        <f>IFERROR(__xludf.DUMMYFUNCTION("""COMPUTED_VALUE"""),45552.0)</f>
        <v>45552</v>
      </c>
      <c r="F869" s="5" t="str">
        <f>IFERROR(__xludf.DUMMYFUNCTION("""COMPUTED_VALUE"""),"Ganjil")</f>
        <v>Ganjil</v>
      </c>
      <c r="G869" s="5" t="str">
        <f>IFERROR(__xludf.DUMMYFUNCTION("""COMPUTED_VALUE"""),"Akuntansi")</f>
        <v>Akuntansi</v>
      </c>
      <c r="H869" s="10" t="str">
        <f>IFERROR(__xludf.DUMMYFUNCTION("""COMPUTED_VALUE"""),"Mahasiswa")</f>
        <v>Mahasiswa</v>
      </c>
      <c r="I869" s="6" t="str">
        <f>IFERROR(__xludf.DUMMYFUNCTION("""COMPUTED_VALUE"""),"Arniyawati Adinda Nur Aini")</f>
        <v>Arniyawati Adinda Nur Aini</v>
      </c>
      <c r="J869" s="6" t="str">
        <f>IFERROR(__xludf.DUMMYFUNCTION("""COMPUTED_VALUE"""),"Ismunawan")</f>
        <v>Ismunawan</v>
      </c>
      <c r="K869" s="6"/>
      <c r="L869" s="6"/>
      <c r="M869" s="6"/>
      <c r="N869" s="6"/>
      <c r="O869" s="6"/>
      <c r="P869" s="10" t="str">
        <f>IFERROR(__xludf.DUMMYFUNCTION("""COMPUTED_VALUE"""),"Arniyawati Adinda Nur Aini, Ismunawan")</f>
        <v>Arniyawati Adinda Nur Aini, Ismunawan</v>
      </c>
      <c r="Q869" s="11" t="str">
        <f>IFERROR(__xludf.DUMMYFUNCTION("""COMPUTED_VALUE"""),"https://ejurnal.kampusakademik.my.id/index.php/jemba/article/view/456")</f>
        <v>https://ejurnal.kampusakademik.my.id/index.php/jemba/article/view/456</v>
      </c>
      <c r="R869" s="6"/>
    </row>
    <row r="870">
      <c r="A870" s="5">
        <f>IFERROR(__xludf.DUMMYFUNCTION("""COMPUTED_VALUE"""),869.0)</f>
        <v>869</v>
      </c>
      <c r="B870" s="6" t="str">
        <f>IFERROR(__xludf.DUMMYFUNCTION("""COMPUTED_VALUE"""),"Analisis Pengaruh Aspek Keperilakuan Terhadap Penggunaan Sistem Akuntansi ( Studi pada Eksportir Furniture Surakarta )")</f>
        <v>Analisis Pengaruh Aspek Keperilakuan Terhadap Penggunaan Sistem Akuntansi ( Studi pada Eksportir Furniture Surakarta )</v>
      </c>
      <c r="C870" s="7">
        <f>IFERROR(__xludf.DUMMYFUNCTION("""COMPUTED_VALUE"""),2024.0)</f>
        <v>2024</v>
      </c>
      <c r="D870" s="8" t="str">
        <f>IFERROR(__xludf.DUMMYFUNCTION("""COMPUTED_VALUE"""),"2024/2025")</f>
        <v>2024/2025</v>
      </c>
      <c r="E870" s="9">
        <f>IFERROR(__xludf.DUMMYFUNCTION("""COMPUTED_VALUE"""),45553.0)</f>
        <v>45553</v>
      </c>
      <c r="F870" s="5" t="str">
        <f>IFERROR(__xludf.DUMMYFUNCTION("""COMPUTED_VALUE"""),"Ganjil")</f>
        <v>Ganjil</v>
      </c>
      <c r="G870" s="5" t="str">
        <f>IFERROR(__xludf.DUMMYFUNCTION("""COMPUTED_VALUE"""),"Akuntansi")</f>
        <v>Akuntansi</v>
      </c>
      <c r="H870" s="10" t="str">
        <f>IFERROR(__xludf.DUMMYFUNCTION("""COMPUTED_VALUE"""),"Mahasiswa")</f>
        <v>Mahasiswa</v>
      </c>
      <c r="I870" s="6" t="str">
        <f>IFERROR(__xludf.DUMMYFUNCTION("""COMPUTED_VALUE"""),"Wardatul Nur Khasanah")</f>
        <v>Wardatul Nur Khasanah</v>
      </c>
      <c r="J870" s="6" t="str">
        <f>IFERROR(__xludf.DUMMYFUNCTION("""COMPUTED_VALUE"""),"Ismunawan")</f>
        <v>Ismunawan</v>
      </c>
      <c r="K870" s="6"/>
      <c r="L870" s="6"/>
      <c r="M870" s="6"/>
      <c r="N870" s="6"/>
      <c r="O870" s="6"/>
      <c r="P870" s="10" t="str">
        <f>IFERROR(__xludf.DUMMYFUNCTION("""COMPUTED_VALUE"""),"Wardatul Nur Khasanah, Ismunawan")</f>
        <v>Wardatul Nur Khasanah, Ismunawan</v>
      </c>
      <c r="Q870" s="11" t="str">
        <f>IFERROR(__xludf.DUMMYFUNCTION("""COMPUTED_VALUE"""),"https://repository.stiesurakarta.ac.id/submission/b0407ebc-ca7e-47d7-8687-7d450df20530")</f>
        <v>https://repository.stiesurakarta.ac.id/submission/b0407ebc-ca7e-47d7-8687-7d450df20530</v>
      </c>
      <c r="R870" s="6"/>
    </row>
    <row r="871">
      <c r="A871" s="5">
        <f>IFERROR(__xludf.DUMMYFUNCTION("""COMPUTED_VALUE"""),870.0)</f>
        <v>870</v>
      </c>
      <c r="B871" s="6" t="str">
        <f>IFERROR(__xludf.DUMMYFUNCTION("""COMPUTED_VALUE"""),"Pengaruh Pemanfaatan Teknologi, Literasi Keuangan, Tingkat Pendidikan, dan Kompetensi SDM Terhadap Kinerja UMKM di Kabupaten Sukoharjo")</f>
        <v>Pengaruh Pemanfaatan Teknologi, Literasi Keuangan, Tingkat Pendidikan, dan Kompetensi SDM Terhadap Kinerja UMKM di Kabupaten Sukoharjo</v>
      </c>
      <c r="C871" s="7">
        <f>IFERROR(__xludf.DUMMYFUNCTION("""COMPUTED_VALUE"""),2024.0)</f>
        <v>2024</v>
      </c>
      <c r="D871" s="8" t="str">
        <f>IFERROR(__xludf.DUMMYFUNCTION("""COMPUTED_VALUE"""),"2024/2025")</f>
        <v>2024/2025</v>
      </c>
      <c r="E871" s="9">
        <f>IFERROR(__xludf.DUMMYFUNCTION("""COMPUTED_VALUE"""),45555.0)</f>
        <v>45555</v>
      </c>
      <c r="F871" s="5" t="str">
        <f>IFERROR(__xludf.DUMMYFUNCTION("""COMPUTED_VALUE"""),"Ganjil")</f>
        <v>Ganjil</v>
      </c>
      <c r="G871" s="5" t="str">
        <f>IFERROR(__xludf.DUMMYFUNCTION("""COMPUTED_VALUE"""),"Akuntansi")</f>
        <v>Akuntansi</v>
      </c>
      <c r="H871" s="10" t="str">
        <f>IFERROR(__xludf.DUMMYFUNCTION("""COMPUTED_VALUE"""),"Mahasiswa")</f>
        <v>Mahasiswa</v>
      </c>
      <c r="I871" s="6" t="str">
        <f>IFERROR(__xludf.DUMMYFUNCTION("""COMPUTED_VALUE"""),"Anggit Nur Rohmah")</f>
        <v>Anggit Nur Rohmah</v>
      </c>
      <c r="J871" s="6" t="str">
        <f>IFERROR(__xludf.DUMMYFUNCTION("""COMPUTED_VALUE"""),"Arif Nugroho Rachman")</f>
        <v>Arif Nugroho Rachman</v>
      </c>
      <c r="K871" s="6"/>
      <c r="L871" s="6"/>
      <c r="M871" s="6"/>
      <c r="N871" s="6"/>
      <c r="O871" s="6"/>
      <c r="P871" s="10" t="str">
        <f>IFERROR(__xludf.DUMMYFUNCTION("""COMPUTED_VALUE"""),"Anggit Nur Rohmah, Arif Nugroho Rachman")</f>
        <v>Anggit Nur Rohmah, Arif Nugroho Rachman</v>
      </c>
      <c r="Q871" s="11" t="str">
        <f>IFERROR(__xludf.DUMMYFUNCTION("""COMPUTED_VALUE"""),"https://journal.ikadi.or.id/index.php/assyirkah/article/view/387")</f>
        <v>https://journal.ikadi.or.id/index.php/assyirkah/article/view/387</v>
      </c>
      <c r="R871" s="6"/>
    </row>
    <row r="872">
      <c r="A872" s="5">
        <f>IFERROR(__xludf.DUMMYFUNCTION("""COMPUTED_VALUE"""),871.0)</f>
        <v>871</v>
      </c>
      <c r="B872" s="6" t="str">
        <f>IFERROR(__xludf.DUMMYFUNCTION("""COMPUTED_VALUE"""),"Pengaruh Persepsi Wajib Pajak UMKM Atas Undang-Undang HPP, Sosialisasi Perpajakan Terhadap Kepatuhan Wajib Pajak")</f>
        <v>Pengaruh Persepsi Wajib Pajak UMKM Atas Undang-Undang HPP, Sosialisasi Perpajakan Terhadap Kepatuhan Wajib Pajak</v>
      </c>
      <c r="C872" s="7">
        <f>IFERROR(__xludf.DUMMYFUNCTION("""COMPUTED_VALUE"""),2024.0)</f>
        <v>2024</v>
      </c>
      <c r="D872" s="8" t="str">
        <f>IFERROR(__xludf.DUMMYFUNCTION("""COMPUTED_VALUE"""),"2024/2025")</f>
        <v>2024/2025</v>
      </c>
      <c r="E872" s="9">
        <f>IFERROR(__xludf.DUMMYFUNCTION("""COMPUTED_VALUE"""),45558.0)</f>
        <v>45558</v>
      </c>
      <c r="F872" s="5" t="str">
        <f>IFERROR(__xludf.DUMMYFUNCTION("""COMPUTED_VALUE"""),"Ganjil")</f>
        <v>Ganjil</v>
      </c>
      <c r="G872" s="5" t="str">
        <f>IFERROR(__xludf.DUMMYFUNCTION("""COMPUTED_VALUE"""),"Akuntansi")</f>
        <v>Akuntansi</v>
      </c>
      <c r="H872" s="10" t="str">
        <f>IFERROR(__xludf.DUMMYFUNCTION("""COMPUTED_VALUE"""),"Mahasiswa")</f>
        <v>Mahasiswa</v>
      </c>
      <c r="I872" s="6" t="str">
        <f>IFERROR(__xludf.DUMMYFUNCTION("""COMPUTED_VALUE"""),"Ellen Febrianti Nurandita Sari")</f>
        <v>Ellen Febrianti Nurandita Sari</v>
      </c>
      <c r="J872" s="6" t="str">
        <f>IFERROR(__xludf.DUMMYFUNCTION("""COMPUTED_VALUE"""),"Nur Kholis")</f>
        <v>Nur Kholis</v>
      </c>
      <c r="K872" s="6"/>
      <c r="L872" s="6"/>
      <c r="M872" s="6"/>
      <c r="N872" s="6"/>
      <c r="O872" s="6"/>
      <c r="P872" s="10" t="str">
        <f>IFERROR(__xludf.DUMMYFUNCTION("""COMPUTED_VALUE"""),"Ellen Febrianti Nurandita Sari, Nur Kholis")</f>
        <v>Ellen Febrianti Nurandita Sari, Nur Kholis</v>
      </c>
      <c r="Q872" s="11" t="str">
        <f>IFERROR(__xludf.DUMMYFUNCTION("""COMPUTED_VALUE"""),"https://repository.stiesurakarta.ac.id/submission/a39be2c3-38f4-43e7-8b33-715d147cdedd")</f>
        <v>https://repository.stiesurakarta.ac.id/submission/a39be2c3-38f4-43e7-8b33-715d147cdedd</v>
      </c>
      <c r="R872" s="6"/>
    </row>
    <row r="873">
      <c r="A873" s="5">
        <f>IFERROR(__xludf.DUMMYFUNCTION("""COMPUTED_VALUE"""),872.0)</f>
        <v>872</v>
      </c>
      <c r="B873" s="6" t="str">
        <f>IFERROR(__xludf.DUMMYFUNCTION("""COMPUTED_VALUE"""),"Analisis Pengaruh Tekanan Waktu, Independensi, dan Profesionalisme Auditor Dalam Pendeteksian Fraud Laporan Keuangan")</f>
        <v>Analisis Pengaruh Tekanan Waktu, Independensi, dan Profesionalisme Auditor Dalam Pendeteksian Fraud Laporan Keuangan</v>
      </c>
      <c r="C873" s="7">
        <f>IFERROR(__xludf.DUMMYFUNCTION("""COMPUTED_VALUE"""),2024.0)</f>
        <v>2024</v>
      </c>
      <c r="D873" s="8" t="str">
        <f>IFERROR(__xludf.DUMMYFUNCTION("""COMPUTED_VALUE"""),"2024/2025")</f>
        <v>2024/2025</v>
      </c>
      <c r="E873" s="9">
        <f>IFERROR(__xludf.DUMMYFUNCTION("""COMPUTED_VALUE"""),45559.0)</f>
        <v>45559</v>
      </c>
      <c r="F873" s="5" t="str">
        <f>IFERROR(__xludf.DUMMYFUNCTION("""COMPUTED_VALUE"""),"Ganjil")</f>
        <v>Ganjil</v>
      </c>
      <c r="G873" s="5" t="str">
        <f>IFERROR(__xludf.DUMMYFUNCTION("""COMPUTED_VALUE"""),"Akuntansi")</f>
        <v>Akuntansi</v>
      </c>
      <c r="H873" s="10" t="str">
        <f>IFERROR(__xludf.DUMMYFUNCTION("""COMPUTED_VALUE"""),"Mahasiswa")</f>
        <v>Mahasiswa</v>
      </c>
      <c r="I873" s="6" t="str">
        <f>IFERROR(__xludf.DUMMYFUNCTION("""COMPUTED_VALUE"""),"Sri Rahayu Amanatun")</f>
        <v>Sri Rahayu Amanatun</v>
      </c>
      <c r="J873" s="6" t="str">
        <f>IFERROR(__xludf.DUMMYFUNCTION("""COMPUTED_VALUE"""),"Arif Nugroho Rachman")</f>
        <v>Arif Nugroho Rachman</v>
      </c>
      <c r="K873" s="6"/>
      <c r="L873" s="6"/>
      <c r="M873" s="6"/>
      <c r="N873" s="6"/>
      <c r="O873" s="6"/>
      <c r="P873" s="10" t="str">
        <f>IFERROR(__xludf.DUMMYFUNCTION("""COMPUTED_VALUE"""),"Sri Rahayu Amanatun, Arif Nugroho Rachman")</f>
        <v>Sri Rahayu Amanatun, Arif Nugroho Rachman</v>
      </c>
      <c r="Q873" s="11" t="str">
        <f>IFERROR(__xludf.DUMMYFUNCTION("""COMPUTED_VALUE"""),"https://repository.stiesurakarta.ac.id/submission/8b1daa8a-92fe-4364-aa4b-3bcc0e17cdae")</f>
        <v>https://repository.stiesurakarta.ac.id/submission/8b1daa8a-92fe-4364-aa4b-3bcc0e17cdae</v>
      </c>
      <c r="R873" s="6"/>
    </row>
    <row r="874">
      <c r="A874" s="5">
        <f>IFERROR(__xludf.DUMMYFUNCTION("""COMPUTED_VALUE"""),873.0)</f>
        <v>873</v>
      </c>
      <c r="B874" s="6" t="str">
        <f>IFERROR(__xludf.DUMMYFUNCTION("""COMPUTED_VALUE"""),"Analisis Faktor Faktor Yang Berpengaruh Terhadap Implementasi Tools Digital Marketing Pada Umkm Di Surakarta")</f>
        <v>Analisis Faktor Faktor Yang Berpengaruh Terhadap Implementasi Tools Digital Marketing Pada Umkm Di Surakarta</v>
      </c>
      <c r="C874" s="7">
        <f>IFERROR(__xludf.DUMMYFUNCTION("""COMPUTED_VALUE"""),2024.0)</f>
        <v>2024</v>
      </c>
      <c r="D874" s="8" t="str">
        <f>IFERROR(__xludf.DUMMYFUNCTION("""COMPUTED_VALUE"""),"2024/2025")</f>
        <v>2024/2025</v>
      </c>
      <c r="E874" s="9">
        <f>IFERROR(__xludf.DUMMYFUNCTION("""COMPUTED_VALUE"""),45565.0)</f>
        <v>45565</v>
      </c>
      <c r="F874" s="5" t="str">
        <f>IFERROR(__xludf.DUMMYFUNCTION("""COMPUTED_VALUE"""),"Ganjil")</f>
        <v>Ganjil</v>
      </c>
      <c r="G874" s="5" t="str">
        <f>IFERROR(__xludf.DUMMYFUNCTION("""COMPUTED_VALUE"""),"Manajemen")</f>
        <v>Manajemen</v>
      </c>
      <c r="H874" s="10" t="str">
        <f>IFERROR(__xludf.DUMMYFUNCTION("""COMPUTED_VALUE"""),"Mahasiswa")</f>
        <v>Mahasiswa</v>
      </c>
      <c r="I874" s="6" t="str">
        <f>IFERROR(__xludf.DUMMYFUNCTION("""COMPUTED_VALUE"""),"Shanda Caldera")</f>
        <v>Shanda Caldera</v>
      </c>
      <c r="J874" s="6" t="str">
        <f>IFERROR(__xludf.DUMMYFUNCTION("""COMPUTED_VALUE"""),"Christiawan Hendratmoko")</f>
        <v>Christiawan Hendratmoko</v>
      </c>
      <c r="K874" s="6"/>
      <c r="L874" s="6"/>
      <c r="M874" s="6"/>
      <c r="N874" s="6"/>
      <c r="O874" s="6"/>
      <c r="P874" s="10" t="str">
        <f>IFERROR(__xludf.DUMMYFUNCTION("""COMPUTED_VALUE"""),"Shanda Caldera, Christiawan Hendratmoko")</f>
        <v>Shanda Caldera, Christiawan Hendratmoko</v>
      </c>
      <c r="Q874" s="11" t="str">
        <f>IFERROR(__xludf.DUMMYFUNCTION("""COMPUTED_VALUE"""),"https://journal.cattleyadf.org/index.php/Jasmien/article/view/601")</f>
        <v>https://journal.cattleyadf.org/index.php/Jasmien/article/view/601</v>
      </c>
      <c r="R874" s="6"/>
    </row>
    <row r="875">
      <c r="A875" s="5">
        <f>IFERROR(__xludf.DUMMYFUNCTION("""COMPUTED_VALUE"""),874.0)</f>
        <v>874</v>
      </c>
      <c r="B875" s="6" t="str">
        <f>IFERROR(__xludf.DUMMYFUNCTION("""COMPUTED_VALUE"""),"Analysis of Determination of Individual Taxpayer Compliance at KPP Pratama Sukoharjo")</f>
        <v>Analysis of Determination of Individual Taxpayer Compliance at KPP Pratama Sukoharjo</v>
      </c>
      <c r="C875" s="7">
        <f>IFERROR(__xludf.DUMMYFUNCTION("""COMPUTED_VALUE"""),2024.0)</f>
        <v>2024</v>
      </c>
      <c r="D875" s="8" t="str">
        <f>IFERROR(__xludf.DUMMYFUNCTION("""COMPUTED_VALUE"""),"2024/2025")</f>
        <v>2024/2025</v>
      </c>
      <c r="E875" s="9">
        <f>IFERROR(__xludf.DUMMYFUNCTION("""COMPUTED_VALUE"""),45565.0)</f>
        <v>45565</v>
      </c>
      <c r="F875" s="5" t="str">
        <f>IFERROR(__xludf.DUMMYFUNCTION("""COMPUTED_VALUE"""),"Ganjil")</f>
        <v>Ganjil</v>
      </c>
      <c r="G875" s="5" t="str">
        <f>IFERROR(__xludf.DUMMYFUNCTION("""COMPUTED_VALUE"""),"Akuntansi")</f>
        <v>Akuntansi</v>
      </c>
      <c r="H875" s="10" t="str">
        <f>IFERROR(__xludf.DUMMYFUNCTION("""COMPUTED_VALUE"""),"Mahasiswa")</f>
        <v>Mahasiswa</v>
      </c>
      <c r="I875" s="6" t="str">
        <f>IFERROR(__xludf.DUMMYFUNCTION("""COMPUTED_VALUE"""),"Desy Natalia Purwaningsih")</f>
        <v>Desy Natalia Purwaningsih</v>
      </c>
      <c r="J875" s="6" t="str">
        <f>IFERROR(__xludf.DUMMYFUNCTION("""COMPUTED_VALUE"""),"Nur Kholis")</f>
        <v>Nur Kholis</v>
      </c>
      <c r="K875" s="6" t="str">
        <f>IFERROR(__xludf.DUMMYFUNCTION("""COMPUTED_VALUE"""),"Rosita")</f>
        <v>Rosita</v>
      </c>
      <c r="L875" s="6"/>
      <c r="M875" s="6"/>
      <c r="N875" s="6"/>
      <c r="O875" s="6"/>
      <c r="P875" s="10" t="str">
        <f>IFERROR(__xludf.DUMMYFUNCTION("""COMPUTED_VALUE"""),"Desy Natalia Purwaningsih, Nur Kholis")</f>
        <v>Desy Natalia Purwaningsih, Nur Kholis</v>
      </c>
      <c r="Q875" s="11" t="str">
        <f>IFERROR(__xludf.DUMMYFUNCTION("""COMPUTED_VALUE"""),"https://jurnal.upnyk.ac.id/index.php/jmar/article/view/14533")</f>
        <v>https://jurnal.upnyk.ac.id/index.php/jmar/article/view/14533</v>
      </c>
      <c r="R875" s="6"/>
    </row>
    <row r="876">
      <c r="A876" s="5">
        <f>IFERROR(__xludf.DUMMYFUNCTION("""COMPUTED_VALUE"""),875.0)</f>
        <v>875</v>
      </c>
      <c r="B876" s="6" t="str">
        <f>IFERROR(__xludf.DUMMYFUNCTION("""COMPUTED_VALUE"""),"Modul ACP Untuk UMKM")</f>
        <v>Modul ACP Untuk UMKM</v>
      </c>
      <c r="C876" s="7">
        <f>IFERROR(__xludf.DUMMYFUNCTION("""COMPUTED_VALUE"""),2024.0)</f>
        <v>2024</v>
      </c>
      <c r="D876" s="8" t="str">
        <f>IFERROR(__xludf.DUMMYFUNCTION("""COMPUTED_VALUE"""),"2024/2025")</f>
        <v>2024/2025</v>
      </c>
      <c r="E876" s="9">
        <f>IFERROR(__xludf.DUMMYFUNCTION("""COMPUTED_VALUE"""),45600.0)</f>
        <v>45600</v>
      </c>
      <c r="F876" s="5" t="str">
        <f>IFERROR(__xludf.DUMMYFUNCTION("""COMPUTED_VALUE"""),"Ganjil")</f>
        <v>Ganjil</v>
      </c>
      <c r="G876" s="5" t="str">
        <f>IFERROR(__xludf.DUMMYFUNCTION("""COMPUTED_VALUE"""),"Manajemen")</f>
        <v>Manajemen</v>
      </c>
      <c r="H876" s="10" t="str">
        <f>IFERROR(__xludf.DUMMYFUNCTION("""COMPUTED_VALUE"""),"Dosen")</f>
        <v>Dosen</v>
      </c>
      <c r="I876" s="6" t="str">
        <f>IFERROR(__xludf.DUMMYFUNCTION("""COMPUTED_VALUE"""),"Ginanjar Rahmawan")</f>
        <v>Ginanjar Rahmawan</v>
      </c>
      <c r="J876" s="6"/>
      <c r="K876" s="6"/>
      <c r="L876" s="6"/>
      <c r="M876" s="6"/>
      <c r="N876" s="6"/>
      <c r="O876" s="6"/>
      <c r="P876" s="10"/>
      <c r="Q876" s="11" t="str">
        <f>IFERROR(__xludf.DUMMYFUNCTION("""COMPUTED_VALUE"""),"https://drive.google.com/file/d/14Wk3c6U07nYgxRGgc818Xy7fechf2tLE/view?usp=drive_link")</f>
        <v>https://drive.google.com/file/d/14Wk3c6U07nYgxRGgc818Xy7fechf2tLE/view?usp=drive_link</v>
      </c>
      <c r="R876" s="6"/>
    </row>
    <row r="877">
      <c r="A877" s="5">
        <f>IFERROR(__xludf.DUMMYFUNCTION("""COMPUTED_VALUE"""),876.0)</f>
        <v>876</v>
      </c>
      <c r="B877" s="6" t="str">
        <f>IFERROR(__xludf.DUMMYFUNCTION("""COMPUTED_VALUE"""),"Does Neuromarketing Matter to Purchase Intention on Coffeeshop Industry?")</f>
        <v>Does Neuromarketing Matter to Purchase Intention on Coffeeshop Industry?</v>
      </c>
      <c r="C877" s="7">
        <f>IFERROR(__xludf.DUMMYFUNCTION("""COMPUTED_VALUE"""),2024.0)</f>
        <v>2024</v>
      </c>
      <c r="D877" s="8" t="str">
        <f>IFERROR(__xludf.DUMMYFUNCTION("""COMPUTED_VALUE"""),"2024/2025")</f>
        <v>2024/2025</v>
      </c>
      <c r="E877" s="9">
        <f>IFERROR(__xludf.DUMMYFUNCTION("""COMPUTED_VALUE"""),45603.0)</f>
        <v>45603</v>
      </c>
      <c r="F877" s="5" t="str">
        <f>IFERROR(__xludf.DUMMYFUNCTION("""COMPUTED_VALUE"""),"Ganjil")</f>
        <v>Ganjil</v>
      </c>
      <c r="G877" s="5" t="str">
        <f>IFERROR(__xludf.DUMMYFUNCTION("""COMPUTED_VALUE"""),"Manajemen")</f>
        <v>Manajemen</v>
      </c>
      <c r="H877" s="10" t="str">
        <f>IFERROR(__xludf.DUMMYFUNCTION("""COMPUTED_VALUE"""),"Dosen")</f>
        <v>Dosen</v>
      </c>
      <c r="I877" s="6" t="str">
        <f>IFERROR(__xludf.DUMMYFUNCTION("""COMPUTED_VALUE"""),"Aditya Liliyan")</f>
        <v>Aditya Liliyan</v>
      </c>
      <c r="J877" s="6"/>
      <c r="K877" s="6"/>
      <c r="L877" s="6"/>
      <c r="M877" s="6"/>
      <c r="N877" s="6"/>
      <c r="O877" s="6"/>
      <c r="P877" s="10"/>
      <c r="Q877" s="11" t="str">
        <f>IFERROR(__xludf.DUMMYFUNCTION("""COMPUTED_VALUE"""),"https://prosiding.areai.or.id/index.php/ICEAT/article/view/34")</f>
        <v>https://prosiding.areai.or.id/index.php/ICEAT/article/view/34</v>
      </c>
      <c r="R877" s="6"/>
    </row>
    <row r="878">
      <c r="A878" s="5">
        <f>IFERROR(__xludf.DUMMYFUNCTION("""COMPUTED_VALUE"""),877.0)</f>
        <v>877</v>
      </c>
      <c r="B878" s="6" t="str">
        <f>IFERROR(__xludf.DUMMYFUNCTION("""COMPUTED_VALUE"""),"Pengaruh Promosi, Kualitas Pelayanan, dan Kemudahan Penggunaan Aplikasi Terhadap Keputusan Pembelian Go-Food di Kota Solo")</f>
        <v>Pengaruh Promosi, Kualitas Pelayanan, dan Kemudahan Penggunaan Aplikasi Terhadap Keputusan Pembelian Go-Food di Kota Solo</v>
      </c>
      <c r="C878" s="7">
        <f>IFERROR(__xludf.DUMMYFUNCTION("""COMPUTED_VALUE"""),2024.0)</f>
        <v>2024</v>
      </c>
      <c r="D878" s="8" t="str">
        <f>IFERROR(__xludf.DUMMYFUNCTION("""COMPUTED_VALUE"""),"2024/2025")</f>
        <v>2024/2025</v>
      </c>
      <c r="E878" s="9">
        <f>IFERROR(__xludf.DUMMYFUNCTION("""COMPUTED_VALUE"""),45614.0)</f>
        <v>45614</v>
      </c>
      <c r="F878" s="5" t="str">
        <f>IFERROR(__xludf.DUMMYFUNCTION("""COMPUTED_VALUE"""),"Ganjil")</f>
        <v>Ganjil</v>
      </c>
      <c r="G878" s="5" t="str">
        <f>IFERROR(__xludf.DUMMYFUNCTION("""COMPUTED_VALUE"""),"Manajemen")</f>
        <v>Manajemen</v>
      </c>
      <c r="H878" s="10" t="str">
        <f>IFERROR(__xludf.DUMMYFUNCTION("""COMPUTED_VALUE"""),"Dosen")</f>
        <v>Dosen</v>
      </c>
      <c r="I878" s="6" t="str">
        <f>IFERROR(__xludf.DUMMYFUNCTION("""COMPUTED_VALUE"""),"Andri Nurtantiono")</f>
        <v>Andri Nurtantiono</v>
      </c>
      <c r="J878" s="6"/>
      <c r="K878" s="6"/>
      <c r="L878" s="6"/>
      <c r="M878" s="6"/>
      <c r="N878" s="6"/>
      <c r="O878" s="6"/>
      <c r="P878" s="10"/>
      <c r="Q878" s="11" t="str">
        <f>IFERROR(__xludf.DUMMYFUNCTION("""COMPUTED_VALUE"""),"https://journal.umpo.ac.id/index.php/ASSET/article/view/7677")</f>
        <v>https://journal.umpo.ac.id/index.php/ASSET/article/view/7677</v>
      </c>
      <c r="R878" s="6"/>
    </row>
    <row r="879">
      <c r="A879" s="5">
        <f>IFERROR(__xludf.DUMMYFUNCTION("""COMPUTED_VALUE"""),878.0)</f>
        <v>878</v>
      </c>
      <c r="B879" s="6" t="str">
        <f>IFERROR(__xludf.DUMMYFUNCTION("""COMPUTED_VALUE"""),"PERILAKU KEUANGAN KOMUNITAS SENIMAN MOJOPOLO JAWA TENGAH DITINJAU DARI LITERASI KEUANGAN DAN GAYA HIDUP")</f>
        <v>PERILAKU KEUANGAN KOMUNITAS SENIMAN MOJOPOLO JAWA TENGAH DITINJAU DARI LITERASI KEUANGAN DAN GAYA HIDUP</v>
      </c>
      <c r="C879" s="7">
        <f>IFERROR(__xludf.DUMMYFUNCTION("""COMPUTED_VALUE"""),2024.0)</f>
        <v>2024</v>
      </c>
      <c r="D879" s="8" t="str">
        <f>IFERROR(__xludf.DUMMYFUNCTION("""COMPUTED_VALUE"""),"2024/2025")</f>
        <v>2024/2025</v>
      </c>
      <c r="E879" s="9">
        <f>IFERROR(__xludf.DUMMYFUNCTION("""COMPUTED_VALUE"""),45626.0)</f>
        <v>45626</v>
      </c>
      <c r="F879" s="5" t="str">
        <f>IFERROR(__xludf.DUMMYFUNCTION("""COMPUTED_VALUE"""),"Ganjil")</f>
        <v>Ganjil</v>
      </c>
      <c r="G879" s="5" t="str">
        <f>IFERROR(__xludf.DUMMYFUNCTION("""COMPUTED_VALUE"""),"Manajemen")</f>
        <v>Manajemen</v>
      </c>
      <c r="H879" s="10" t="str">
        <f>IFERROR(__xludf.DUMMYFUNCTION("""COMPUTED_VALUE"""),"Dosen")</f>
        <v>Dosen</v>
      </c>
      <c r="I879" s="6" t="str">
        <f>IFERROR(__xludf.DUMMYFUNCTION("""COMPUTED_VALUE"""),"Ari Susanti")</f>
        <v>Ari Susanti</v>
      </c>
      <c r="J879" s="6" t="str">
        <f>IFERROR(__xludf.DUMMYFUNCTION("""COMPUTED_VALUE"""),"Ester Dwi Supriyanto")</f>
        <v>Ester Dwi Supriyanto</v>
      </c>
      <c r="K879" s="6"/>
      <c r="L879" s="6"/>
      <c r="M879" s="6"/>
      <c r="N879" s="6"/>
      <c r="O879" s="6"/>
      <c r="P879" s="10"/>
      <c r="Q879" s="11" t="str">
        <f>IFERROR(__xludf.DUMMYFUNCTION("""COMPUTED_VALUE"""),"https://journal.sinov.id/index.php/sinoveka/article/view/836?articlesBySimilarityPage=3")</f>
        <v>https://journal.sinov.id/index.php/sinoveka/article/view/836?articlesBySimilarityPage=3</v>
      </c>
      <c r="R879" s="6"/>
    </row>
    <row r="880">
      <c r="A880" s="5">
        <f>IFERROR(__xludf.DUMMYFUNCTION("""COMPUTED_VALUE"""),879.0)</f>
        <v>879</v>
      </c>
      <c r="B880" s="6" t="str">
        <f>IFERROR(__xludf.DUMMYFUNCTION("""COMPUTED_VALUE"""),"Optimalisasi Pembukuan dan Pemasaran Pada Usaha Mikro Kecil Menengah Fia Musica, Sukoharjo")</f>
        <v>Optimalisasi Pembukuan dan Pemasaran Pada Usaha Mikro Kecil Menengah Fia Musica, Sukoharjo</v>
      </c>
      <c r="C880" s="7">
        <f>IFERROR(__xludf.DUMMYFUNCTION("""COMPUTED_VALUE"""),2024.0)</f>
        <v>2024</v>
      </c>
      <c r="D880" s="8" t="str">
        <f>IFERROR(__xludf.DUMMYFUNCTION("""COMPUTED_VALUE"""),"2024/2025")</f>
        <v>2024/2025</v>
      </c>
      <c r="E880" s="9">
        <f>IFERROR(__xludf.DUMMYFUNCTION("""COMPUTED_VALUE"""),45628.0)</f>
        <v>45628</v>
      </c>
      <c r="F880" s="5" t="str">
        <f>IFERROR(__xludf.DUMMYFUNCTION("""COMPUTED_VALUE"""),"Ganjil")</f>
        <v>Ganjil</v>
      </c>
      <c r="G880" s="5" t="str">
        <f>IFERROR(__xludf.DUMMYFUNCTION("""COMPUTED_VALUE"""),"Akuntansi")</f>
        <v>Akuntansi</v>
      </c>
      <c r="H880" s="10" t="str">
        <f>IFERROR(__xludf.DUMMYFUNCTION("""COMPUTED_VALUE"""),"Dosen")</f>
        <v>Dosen</v>
      </c>
      <c r="I880" s="6" t="str">
        <f>IFERROR(__xludf.DUMMYFUNCTION("""COMPUTED_VALUE"""),"Tri Ratna Pamikatsih")</f>
        <v>Tri Ratna Pamikatsih</v>
      </c>
      <c r="J880" s="6" t="str">
        <f>IFERROR(__xludf.DUMMYFUNCTION("""COMPUTED_VALUE"""),"Budi Istiyanto")</f>
        <v>Budi Istiyanto</v>
      </c>
      <c r="K880" s="6" t="str">
        <f>IFERROR(__xludf.DUMMYFUNCTION("""COMPUTED_VALUE"""),"Nabila Khusnul Fatimah")</f>
        <v>Nabila Khusnul Fatimah</v>
      </c>
      <c r="L880" s="6"/>
      <c r="M880" s="6"/>
      <c r="N880" s="6"/>
      <c r="O880" s="6"/>
      <c r="P880" s="10"/>
      <c r="Q880" s="11" t="str">
        <f>IFERROR(__xludf.DUMMYFUNCTION("""COMPUTED_VALUE"""),"https://jurnalpengabdian.stiesurakarta.ac.id/index.php/Dms/article/view/127")</f>
        <v>https://jurnalpengabdian.stiesurakarta.ac.id/index.php/Dms/article/view/127</v>
      </c>
      <c r="R880" s="6"/>
    </row>
    <row r="881">
      <c r="A881" s="5">
        <f>IFERROR(__xludf.DUMMYFUNCTION("""COMPUTED_VALUE"""),880.0)</f>
        <v>880</v>
      </c>
      <c r="B881" s="6" t="str">
        <f>IFERROR(__xludf.DUMMYFUNCTION("""COMPUTED_VALUE"""),"Penentuan Harga Pokok Pesanan pada UMKM Konveksi Ariego Candkid Boyolai")</f>
        <v>Penentuan Harga Pokok Pesanan pada UMKM Konveksi Ariego Candkid Boyolai</v>
      </c>
      <c r="C881" s="7">
        <f>IFERROR(__xludf.DUMMYFUNCTION("""COMPUTED_VALUE"""),2024.0)</f>
        <v>2024</v>
      </c>
      <c r="D881" s="8" t="str">
        <f>IFERROR(__xludf.DUMMYFUNCTION("""COMPUTED_VALUE"""),"2024/2025")</f>
        <v>2024/2025</v>
      </c>
      <c r="E881" s="9">
        <f>IFERROR(__xludf.DUMMYFUNCTION("""COMPUTED_VALUE"""),45628.0)</f>
        <v>45628</v>
      </c>
      <c r="F881" s="5" t="str">
        <f>IFERROR(__xludf.DUMMYFUNCTION("""COMPUTED_VALUE"""),"Ganjil")</f>
        <v>Ganjil</v>
      </c>
      <c r="G881" s="5" t="str">
        <f>IFERROR(__xludf.DUMMYFUNCTION("""COMPUTED_VALUE"""),"Akuntansi")</f>
        <v>Akuntansi</v>
      </c>
      <c r="H881" s="10" t="str">
        <f>IFERROR(__xludf.DUMMYFUNCTION("""COMPUTED_VALUE"""),"Dosen")</f>
        <v>Dosen</v>
      </c>
      <c r="I881" s="6" t="str">
        <f>IFERROR(__xludf.DUMMYFUNCTION("""COMPUTED_VALUE"""),"Eko Triyanto")</f>
        <v>Eko Triyanto</v>
      </c>
      <c r="J881" s="6" t="str">
        <f>IFERROR(__xludf.DUMMYFUNCTION("""COMPUTED_VALUE"""),"Ismunawan")</f>
        <v>Ismunawan</v>
      </c>
      <c r="K881" s="6" t="str">
        <f>IFERROR(__xludf.DUMMYFUNCTION("""COMPUTED_VALUE"""),"Heny Kurnianingsih")</f>
        <v>Heny Kurnianingsih</v>
      </c>
      <c r="L881" s="6" t="str">
        <f>IFERROR(__xludf.DUMMYFUNCTION("""COMPUTED_VALUE"""),"Christiawan Hendratmoko")</f>
        <v>Christiawan Hendratmoko</v>
      </c>
      <c r="M881" s="6" t="str">
        <f>IFERROR(__xludf.DUMMYFUNCTION("""COMPUTED_VALUE"""),"Andri Nurtantiono")</f>
        <v>Andri Nurtantiono</v>
      </c>
      <c r="N881" s="6"/>
      <c r="O881" s="6"/>
      <c r="P881" s="10"/>
      <c r="Q881" s="11" t="str">
        <f>IFERROR(__xludf.DUMMYFUNCTION("""COMPUTED_VALUE"""),"https://jurnalpengabdian.stiesurakarta.ac.id/index.php/Dms/article/view/132")</f>
        <v>https://jurnalpengabdian.stiesurakarta.ac.id/index.php/Dms/article/view/132</v>
      </c>
      <c r="R881" s="6"/>
    </row>
    <row r="882">
      <c r="A882" s="5">
        <f>IFERROR(__xludf.DUMMYFUNCTION("""COMPUTED_VALUE"""),881.0)</f>
        <v>881</v>
      </c>
      <c r="B882" s="6" t="str">
        <f>IFERROR(__xludf.DUMMYFUNCTION("""COMPUTED_VALUE"""),"ANALISIS LITERASI KEUANGAN DAN JARINGAN BISNIS TERHADAP KEBERLANGSUNGAN UMKM DI SUKOHARJO: TEKNOLOGI SEBAGAI VARIABEL INTERVENING")</f>
        <v>ANALISIS LITERASI KEUANGAN DAN JARINGAN BISNIS TERHADAP KEBERLANGSUNGAN UMKM DI SUKOHARJO: TEKNOLOGI SEBAGAI VARIABEL INTERVENING</v>
      </c>
      <c r="C882" s="7">
        <f>IFERROR(__xludf.DUMMYFUNCTION("""COMPUTED_VALUE"""),2024.0)</f>
        <v>2024</v>
      </c>
      <c r="D882" s="8" t="str">
        <f>IFERROR(__xludf.DUMMYFUNCTION("""COMPUTED_VALUE"""),"2024/2025")</f>
        <v>2024/2025</v>
      </c>
      <c r="E882" s="9">
        <f>IFERROR(__xludf.DUMMYFUNCTION("""COMPUTED_VALUE"""),45631.0)</f>
        <v>45631</v>
      </c>
      <c r="F882" s="5" t="str">
        <f>IFERROR(__xludf.DUMMYFUNCTION("""COMPUTED_VALUE"""),"Ganjil")</f>
        <v>Ganjil</v>
      </c>
      <c r="G882" s="5" t="str">
        <f>IFERROR(__xludf.DUMMYFUNCTION("""COMPUTED_VALUE"""),"Akuntansi")</f>
        <v>Akuntansi</v>
      </c>
      <c r="H882" s="10" t="str">
        <f>IFERROR(__xludf.DUMMYFUNCTION("""COMPUTED_VALUE"""),"Dosen")</f>
        <v>Dosen</v>
      </c>
      <c r="I882" s="6" t="str">
        <f>IFERROR(__xludf.DUMMYFUNCTION("""COMPUTED_VALUE"""),"Tri Ratna Pamikatsih")</f>
        <v>Tri Ratna Pamikatsih</v>
      </c>
      <c r="J882" s="6" t="str">
        <f>IFERROR(__xludf.DUMMYFUNCTION("""COMPUTED_VALUE"""),"Adeviani Fiardhani")</f>
        <v>Adeviani Fiardhani</v>
      </c>
      <c r="K882" s="6"/>
      <c r="L882" s="6"/>
      <c r="M882" s="6"/>
      <c r="N882" s="6"/>
      <c r="O882" s="6"/>
      <c r="P882" s="10"/>
      <c r="Q882" s="11" t="str">
        <f>IFERROR(__xludf.DUMMYFUNCTION("""COMPUTED_VALUE"""),"https://drive.google.com/file/d/1vGcQ6mDsHzUcyLE6dV5tBTvRZ3W-3yJw/view?usp=drive_link")</f>
        <v>https://drive.google.com/file/d/1vGcQ6mDsHzUcyLE6dV5tBTvRZ3W-3yJw/view?usp=drive_link</v>
      </c>
      <c r="R882" s="11" t="str">
        <f>IFERROR(__xludf.DUMMYFUNCTION("""COMPUTED_VALUE"""),"https://journal.stiemb.ac.id/index.php/mea/article/view/4710")</f>
        <v>https://journal.stiemb.ac.id/index.php/mea/article/view/4710</v>
      </c>
    </row>
    <row r="883">
      <c r="A883" s="5">
        <f>IFERROR(__xludf.DUMMYFUNCTION("""COMPUTED_VALUE"""),882.0)</f>
        <v>882</v>
      </c>
      <c r="B883" s="6" t="str">
        <f>IFERROR(__xludf.DUMMYFUNCTION("""COMPUTED_VALUE"""),"The Role of Elements in Visual Merchandising on Impulsive Buying in Retail Stores (Study on SW Market Stores in Bantul)")</f>
        <v>The Role of Elements in Visual Merchandising on Impulsive Buying in Retail Stores (Study on SW Market Stores in Bantul)</v>
      </c>
      <c r="C883" s="7">
        <f>IFERROR(__xludf.DUMMYFUNCTION("""COMPUTED_VALUE"""),2024.0)</f>
        <v>2024</v>
      </c>
      <c r="D883" s="8" t="str">
        <f>IFERROR(__xludf.DUMMYFUNCTION("""COMPUTED_VALUE"""),"2024/2025")</f>
        <v>2024/2025</v>
      </c>
      <c r="E883" s="9">
        <f>IFERROR(__xludf.DUMMYFUNCTION("""COMPUTED_VALUE"""),45635.0)</f>
        <v>45635</v>
      </c>
      <c r="F883" s="5" t="str">
        <f>IFERROR(__xludf.DUMMYFUNCTION("""COMPUTED_VALUE"""),"Ganjil")</f>
        <v>Ganjil</v>
      </c>
      <c r="G883" s="5" t="str">
        <f>IFERROR(__xludf.DUMMYFUNCTION("""COMPUTED_VALUE"""),"Manajemen")</f>
        <v>Manajemen</v>
      </c>
      <c r="H883" s="10" t="str">
        <f>IFERROR(__xludf.DUMMYFUNCTION("""COMPUTED_VALUE"""),"Dosen")</f>
        <v>Dosen</v>
      </c>
      <c r="I883" s="6" t="str">
        <f>IFERROR(__xludf.DUMMYFUNCTION("""COMPUTED_VALUE"""),"Aditya Liliyan")</f>
        <v>Aditya Liliyan</v>
      </c>
      <c r="J883" s="6"/>
      <c r="K883" s="6"/>
      <c r="L883" s="6"/>
      <c r="M883" s="6"/>
      <c r="N883" s="6"/>
      <c r="O883" s="6"/>
      <c r="P883" s="10"/>
      <c r="Q883" s="11" t="str">
        <f>IFERROR(__xludf.DUMMYFUNCTION("""COMPUTED_VALUE"""),"https://gemapublisher.com/index.php/jssbs/article/view/120")</f>
        <v>https://gemapublisher.com/index.php/jssbs/article/view/120</v>
      </c>
      <c r="R883" s="6"/>
    </row>
    <row r="884">
      <c r="A884" s="5">
        <f>IFERROR(__xludf.DUMMYFUNCTION("""COMPUTED_VALUE"""),883.0)</f>
        <v>883</v>
      </c>
      <c r="B884" s="6" t="str">
        <f>IFERROR(__xludf.DUMMYFUNCTION("""COMPUTED_VALUE"""),"User and Gratifications Theory in Knowing Donation Intentions During Live Streaming")</f>
        <v>User and Gratifications Theory in Knowing Donation Intentions During Live Streaming</v>
      </c>
      <c r="C884" s="7">
        <f>IFERROR(__xludf.DUMMYFUNCTION("""COMPUTED_VALUE"""),2024.0)</f>
        <v>2024</v>
      </c>
      <c r="D884" s="8" t="str">
        <f>IFERROR(__xludf.DUMMYFUNCTION("""COMPUTED_VALUE"""),"2024/2025")</f>
        <v>2024/2025</v>
      </c>
      <c r="E884" s="9">
        <f>IFERROR(__xludf.DUMMYFUNCTION("""COMPUTED_VALUE"""),45637.0)</f>
        <v>45637</v>
      </c>
      <c r="F884" s="5" t="str">
        <f>IFERROR(__xludf.DUMMYFUNCTION("""COMPUTED_VALUE"""),"Ganjil")</f>
        <v>Ganjil</v>
      </c>
      <c r="G884" s="5" t="str">
        <f>IFERROR(__xludf.DUMMYFUNCTION("""COMPUTED_VALUE"""),"Manajemen")</f>
        <v>Manajemen</v>
      </c>
      <c r="H884" s="10" t="str">
        <f>IFERROR(__xludf.DUMMYFUNCTION("""COMPUTED_VALUE"""),"Dosen")</f>
        <v>Dosen</v>
      </c>
      <c r="I884" s="6" t="str">
        <f>IFERROR(__xludf.DUMMYFUNCTION("""COMPUTED_VALUE"""),"Satria Veriansyah Wiguna")</f>
        <v>Satria Veriansyah Wiguna</v>
      </c>
      <c r="J884" s="6"/>
      <c r="K884" s="6"/>
      <c r="L884" s="6"/>
      <c r="M884" s="6"/>
      <c r="N884" s="6"/>
      <c r="O884" s="6"/>
      <c r="P884" s="10"/>
      <c r="Q884" s="11" t="str">
        <f>IFERROR(__xludf.DUMMYFUNCTION("""COMPUTED_VALUE"""),"https://gemapublisher.com/index.php/jssbs/article/view/121")</f>
        <v>https://gemapublisher.com/index.php/jssbs/article/view/121</v>
      </c>
      <c r="R884" s="6"/>
    </row>
    <row r="885">
      <c r="A885" s="5">
        <f>IFERROR(__xludf.DUMMYFUNCTION("""COMPUTED_VALUE"""),884.0)</f>
        <v>884</v>
      </c>
      <c r="B885" s="6" t="str">
        <f>IFERROR(__xludf.DUMMYFUNCTION("""COMPUTED_VALUE"""),"Pengelolaan Keuangan Keluarga dan Faktor-Faktornya")</f>
        <v>Pengelolaan Keuangan Keluarga dan Faktor-Faktornya</v>
      </c>
      <c r="C885" s="7">
        <f>IFERROR(__xludf.DUMMYFUNCTION("""COMPUTED_VALUE"""),2024.0)</f>
        <v>2024</v>
      </c>
      <c r="D885" s="8" t="str">
        <f>IFERROR(__xludf.DUMMYFUNCTION("""COMPUTED_VALUE"""),"2024/2025")</f>
        <v>2024/2025</v>
      </c>
      <c r="E885" s="9">
        <f>IFERROR(__xludf.DUMMYFUNCTION("""COMPUTED_VALUE"""),45657.0)</f>
        <v>45657</v>
      </c>
      <c r="F885" s="5" t="str">
        <f>IFERROR(__xludf.DUMMYFUNCTION("""COMPUTED_VALUE"""),"Ganjil")</f>
        <v>Ganjil</v>
      </c>
      <c r="G885" s="5" t="str">
        <f>IFERROR(__xludf.DUMMYFUNCTION("""COMPUTED_VALUE"""),"Akuntansi")</f>
        <v>Akuntansi</v>
      </c>
      <c r="H885" s="10" t="str">
        <f>IFERROR(__xludf.DUMMYFUNCTION("""COMPUTED_VALUE"""),"Dosen")</f>
        <v>Dosen</v>
      </c>
      <c r="I885" s="6" t="str">
        <f>IFERROR(__xludf.DUMMYFUNCTION("""COMPUTED_VALUE"""),"Eko Triyanto")</f>
        <v>Eko Triyanto</v>
      </c>
      <c r="J885" s="6" t="str">
        <f>IFERROR(__xludf.DUMMYFUNCTION("""COMPUTED_VALUE"""),"Sumadi")</f>
        <v>Sumadi</v>
      </c>
      <c r="K885" s="6" t="str">
        <f>IFERROR(__xludf.DUMMYFUNCTION("""COMPUTED_VALUE"""),"Musliana Nur Arisa")</f>
        <v>Musliana Nur Arisa</v>
      </c>
      <c r="L885" s="6"/>
      <c r="M885" s="6"/>
      <c r="N885" s="6"/>
      <c r="O885" s="6"/>
      <c r="P885" s="10"/>
      <c r="Q885" s="11" t="str">
        <f>IFERROR(__xludf.DUMMYFUNCTION("""COMPUTED_VALUE"""),"https://jurnal.stiesurakarta.ac.id/index.php/jebdeker/article/view/799")</f>
        <v>https://jurnal.stiesurakarta.ac.id/index.php/jebdeker/article/view/799</v>
      </c>
      <c r="R885" s="6"/>
    </row>
    <row r="886">
      <c r="A886" s="5">
        <f>IFERROR(__xludf.DUMMYFUNCTION("""COMPUTED_VALUE"""),885.0)</f>
        <v>885</v>
      </c>
      <c r="B886" s="6" t="str">
        <f>IFERROR(__xludf.DUMMYFUNCTION("""COMPUTED_VALUE"""),"Determinasi Keputusan Berinvestasi pada Generasi Sandwich di Surakarta dengan Literasi Keuangan Sebagai Variabel Moderasi")</f>
        <v>Determinasi Keputusan Berinvestasi pada Generasi Sandwich di Surakarta dengan Literasi Keuangan Sebagai Variabel Moderasi</v>
      </c>
      <c r="C886" s="7">
        <f>IFERROR(__xludf.DUMMYFUNCTION("""COMPUTED_VALUE"""),2024.0)</f>
        <v>2024</v>
      </c>
      <c r="D886" s="8" t="str">
        <f>IFERROR(__xludf.DUMMYFUNCTION("""COMPUTED_VALUE"""),"2024/2025")</f>
        <v>2024/2025</v>
      </c>
      <c r="E886" s="9">
        <f>IFERROR(__xludf.DUMMYFUNCTION("""COMPUTED_VALUE"""),45657.0)</f>
        <v>45657</v>
      </c>
      <c r="F886" s="5" t="str">
        <f>IFERROR(__xludf.DUMMYFUNCTION("""COMPUTED_VALUE"""),"Ganjil")</f>
        <v>Ganjil</v>
      </c>
      <c r="G886" s="5" t="str">
        <f>IFERROR(__xludf.DUMMYFUNCTION("""COMPUTED_VALUE"""),"Akuntansi")</f>
        <v>Akuntansi</v>
      </c>
      <c r="H886" s="10" t="str">
        <f>IFERROR(__xludf.DUMMYFUNCTION("""COMPUTED_VALUE"""),"Dosen")</f>
        <v>Dosen</v>
      </c>
      <c r="I886" s="6" t="str">
        <f>IFERROR(__xludf.DUMMYFUNCTION("""COMPUTED_VALUE"""),"Dewi Ika Octavia")</f>
        <v>Dewi Ika Octavia</v>
      </c>
      <c r="J886" s="6" t="str">
        <f>IFERROR(__xludf.DUMMYFUNCTION("""COMPUTED_VALUE"""),"Era Trianita Saputra")</f>
        <v>Era Trianita Saputra</v>
      </c>
      <c r="K886" s="6" t="str">
        <f>IFERROR(__xludf.DUMMYFUNCTION("""COMPUTED_VALUE"""),"Ari Susanti")</f>
        <v>Ari Susanti</v>
      </c>
      <c r="L886" s="6" t="str">
        <f>IFERROR(__xludf.DUMMYFUNCTION("""COMPUTED_VALUE"""),"Leni Nita Sari")</f>
        <v>Leni Nita Sari</v>
      </c>
      <c r="M886" s="6"/>
      <c r="N886" s="6"/>
      <c r="O886" s="6"/>
      <c r="P886" s="10"/>
      <c r="Q886" s="11" t="str">
        <f>IFERROR(__xludf.DUMMYFUNCTION("""COMPUTED_VALUE"""),"https://jurnal.stiesurakarta.ac.id/index.php/jebdeker/article/view/804")</f>
        <v>https://jurnal.stiesurakarta.ac.id/index.php/jebdeker/article/view/804</v>
      </c>
      <c r="R886" s="6"/>
    </row>
    <row r="887">
      <c r="A887" s="5">
        <f>IFERROR(__xludf.DUMMYFUNCTION("""COMPUTED_VALUE"""),886.0)</f>
        <v>886</v>
      </c>
      <c r="B887" s="6" t="str">
        <f>IFERROR(__xludf.DUMMYFUNCTION("""COMPUTED_VALUE"""),"Penguatan Toleransi Umat Beragama dengan Pendekatan Kearifan Lokal")</f>
        <v>Penguatan Toleransi Umat Beragama dengan Pendekatan Kearifan Lokal</v>
      </c>
      <c r="C887" s="7">
        <f>IFERROR(__xludf.DUMMYFUNCTION("""COMPUTED_VALUE"""),2024.0)</f>
        <v>2024</v>
      </c>
      <c r="D887" s="8" t="str">
        <f>IFERROR(__xludf.DUMMYFUNCTION("""COMPUTED_VALUE"""),"2024/2025")</f>
        <v>2024/2025</v>
      </c>
      <c r="E887" s="9">
        <f>IFERROR(__xludf.DUMMYFUNCTION("""COMPUTED_VALUE"""),45657.0)</f>
        <v>45657</v>
      </c>
      <c r="F887" s="5" t="str">
        <f>IFERROR(__xludf.DUMMYFUNCTION("""COMPUTED_VALUE"""),"Ganjil")</f>
        <v>Ganjil</v>
      </c>
      <c r="G887" s="5" t="str">
        <f>IFERROR(__xludf.DUMMYFUNCTION("""COMPUTED_VALUE"""),"Manajemen")</f>
        <v>Manajemen</v>
      </c>
      <c r="H887" s="10" t="str">
        <f>IFERROR(__xludf.DUMMYFUNCTION("""COMPUTED_VALUE"""),"Dosen")</f>
        <v>Dosen</v>
      </c>
      <c r="I887" s="6" t="str">
        <f>IFERROR(__xludf.DUMMYFUNCTION("""COMPUTED_VALUE"""),"Muhammad Jalari")</f>
        <v>Muhammad Jalari</v>
      </c>
      <c r="J887" s="6" t="str">
        <f>IFERROR(__xludf.DUMMYFUNCTION("""COMPUTED_VALUE"""),"Muhammad Fajrul Falaah")</f>
        <v>Muhammad Fajrul Falaah</v>
      </c>
      <c r="K887" s="6"/>
      <c r="L887" s="6"/>
      <c r="M887" s="6"/>
      <c r="N887" s="6"/>
      <c r="O887" s="6"/>
      <c r="P887" s="10"/>
      <c r="Q887" s="11" t="str">
        <f>IFERROR(__xludf.DUMMYFUNCTION("""COMPUTED_VALUE"""),"https://jurnalpengabdian.stiesurakarta.ac.id/index.php/Dms/article/view/116?__cf_chl_tk=bZj0Yx02D587NlecDii7yMqikqgTAhcqlODqmklcpkI-1748228838-1.0.1.1-rRMIatFaiBVvisKRbBEAN.pM9R9RF4NhWWtM4LeuoUo")</f>
        <v>https://jurnalpengabdian.stiesurakarta.ac.id/index.php/Dms/article/view/116?__cf_chl_tk=bZj0Yx02D587NlecDii7yMqikqgTAhcqlODqmklcpkI-1748228838-1.0.1.1-rRMIatFaiBVvisKRbBEAN.pM9R9RF4NhWWtM4LeuoUo</v>
      </c>
      <c r="R887" s="6"/>
    </row>
    <row r="888">
      <c r="A888" s="5">
        <f>IFERROR(__xludf.DUMMYFUNCTION("""COMPUTED_VALUE"""),887.0)</f>
        <v>887</v>
      </c>
      <c r="B888" s="6" t="str">
        <f>IFERROR(__xludf.DUMMYFUNCTION("""COMPUTED_VALUE"""),"Pelatihan Penggunaan Google Business Untuk Optimalisasi Promosi UMKM Mie Ayam Mas Pit di Banmati, Sukoharjo")</f>
        <v>Pelatihan Penggunaan Google Business Untuk Optimalisasi Promosi UMKM Mie Ayam Mas Pit di Banmati, Sukoharjo</v>
      </c>
      <c r="C888" s="7">
        <f>IFERROR(__xludf.DUMMYFUNCTION("""COMPUTED_VALUE"""),2024.0)</f>
        <v>2024</v>
      </c>
      <c r="D888" s="8" t="str">
        <f>IFERROR(__xludf.DUMMYFUNCTION("""COMPUTED_VALUE"""),"2024/2025")</f>
        <v>2024/2025</v>
      </c>
      <c r="E888" s="9">
        <f>IFERROR(__xludf.DUMMYFUNCTION("""COMPUTED_VALUE"""),45657.0)</f>
        <v>45657</v>
      </c>
      <c r="F888" s="5" t="str">
        <f>IFERROR(__xludf.DUMMYFUNCTION("""COMPUTED_VALUE"""),"Ganjil")</f>
        <v>Ganjil</v>
      </c>
      <c r="G888" s="5" t="str">
        <f>IFERROR(__xludf.DUMMYFUNCTION("""COMPUTED_VALUE"""),"Manajemen")</f>
        <v>Manajemen</v>
      </c>
      <c r="H888" s="10" t="str">
        <f>IFERROR(__xludf.DUMMYFUNCTION("""COMPUTED_VALUE"""),"Mahasiswa")</f>
        <v>Mahasiswa</v>
      </c>
      <c r="I888" s="6" t="str">
        <f>IFERROR(__xludf.DUMMYFUNCTION("""COMPUTED_VALUE"""),"Elida Zia'ul Huda")</f>
        <v>Elida Zia'ul Huda</v>
      </c>
      <c r="J888" s="6" t="str">
        <f>IFERROR(__xludf.DUMMYFUNCTION("""COMPUTED_VALUE"""),"Budi Istiyanto")</f>
        <v>Budi Istiyanto</v>
      </c>
      <c r="K888" s="6"/>
      <c r="L888" s="6"/>
      <c r="M888" s="6"/>
      <c r="N888" s="6"/>
      <c r="O888" s="6"/>
      <c r="P888" s="10" t="str">
        <f>IFERROR(__xludf.DUMMYFUNCTION("""COMPUTED_VALUE"""),"Elida Zia'ul Huda, Budi Istiyanto")</f>
        <v>Elida Zia'ul Huda, Budi Istiyanto</v>
      </c>
      <c r="Q888" s="11" t="str">
        <f>IFERROR(__xludf.DUMMYFUNCTION("""COMPUTED_VALUE"""),"https://jurnalpengabdian.stiesurakarta.ac.id/index.php/Dms/article/view/120")</f>
        <v>https://jurnalpengabdian.stiesurakarta.ac.id/index.php/Dms/article/view/120</v>
      </c>
      <c r="R888" s="6"/>
    </row>
    <row r="889">
      <c r="A889" s="5">
        <f>IFERROR(__xludf.DUMMYFUNCTION("""COMPUTED_VALUE"""),888.0)</f>
        <v>888</v>
      </c>
      <c r="B889" s="6" t="str">
        <f>IFERROR(__xludf.DUMMYFUNCTION("""COMPUTED_VALUE"""),"Pengaruh brand image, brand trust, viral marketing, dan harga terhadap keputusan pembelian produk sepatu converse pada mahasiswa di Surakarta")</f>
        <v>Pengaruh brand image, brand trust, viral marketing, dan harga terhadap keputusan pembelian produk sepatu converse pada mahasiswa di Surakarta</v>
      </c>
      <c r="C889" s="7">
        <f>IFERROR(__xludf.DUMMYFUNCTION("""COMPUTED_VALUE"""),2024.0)</f>
        <v>2024</v>
      </c>
      <c r="D889" s="8" t="str">
        <f>IFERROR(__xludf.DUMMYFUNCTION("""COMPUTED_VALUE"""),"2024/2025")</f>
        <v>2024/2025</v>
      </c>
      <c r="E889" s="9">
        <f>IFERROR(__xludf.DUMMYFUNCTION("""COMPUTED_VALUE"""),45657.0)</f>
        <v>45657</v>
      </c>
      <c r="F889" s="5" t="str">
        <f>IFERROR(__xludf.DUMMYFUNCTION("""COMPUTED_VALUE"""),"Ganjil")</f>
        <v>Ganjil</v>
      </c>
      <c r="G889" s="5" t="str">
        <f>IFERROR(__xludf.DUMMYFUNCTION("""COMPUTED_VALUE"""),"Manajemen")</f>
        <v>Manajemen</v>
      </c>
      <c r="H889" s="10" t="str">
        <f>IFERROR(__xludf.DUMMYFUNCTION("""COMPUTED_VALUE"""),"Mahasiswa")</f>
        <v>Mahasiswa</v>
      </c>
      <c r="I889" s="6" t="str">
        <f>IFERROR(__xludf.DUMMYFUNCTION("""COMPUTED_VALUE"""),"Frista Gladis Ananda")</f>
        <v>Frista Gladis Ananda</v>
      </c>
      <c r="J889" s="6" t="str">
        <f>IFERROR(__xludf.DUMMYFUNCTION("""COMPUTED_VALUE"""),"Christiawan Hendratmoko")</f>
        <v>Christiawan Hendratmoko</v>
      </c>
      <c r="K889" s="6"/>
      <c r="L889" s="6"/>
      <c r="M889" s="6"/>
      <c r="N889" s="6"/>
      <c r="O889" s="6"/>
      <c r="P889" s="10" t="str">
        <f>IFERROR(__xludf.DUMMYFUNCTION("""COMPUTED_VALUE"""),"Frista Gladis Ananda, Christiawan Hendratmoko")</f>
        <v>Frista Gladis Ananda, Christiawan Hendratmoko</v>
      </c>
      <c r="Q889" s="11" t="str">
        <f>IFERROR(__xludf.DUMMYFUNCTION("""COMPUTED_VALUE"""),"https://jurnal.stiesurakarta.ac.id/index.php/jebdeker/article/view/793")</f>
        <v>https://jurnal.stiesurakarta.ac.id/index.php/jebdeker/article/view/793</v>
      </c>
      <c r="R889" s="6"/>
    </row>
    <row r="890">
      <c r="A890" s="5">
        <f>IFERROR(__xludf.DUMMYFUNCTION("""COMPUTED_VALUE"""),889.0)</f>
        <v>889</v>
      </c>
      <c r="B890" s="6" t="str">
        <f>IFERROR(__xludf.DUMMYFUNCTION("""COMPUTED_VALUE"""),"Pendampingan Pembuatan Content Plan Produk Roasted Coffee Beans UMKM Wirokopi di Desa Wirogomo, Banyubiru")</f>
        <v>Pendampingan Pembuatan Content Plan Produk Roasted Coffee Beans UMKM Wirokopi di Desa Wirogomo, Banyubiru</v>
      </c>
      <c r="C890" s="7">
        <f>IFERROR(__xludf.DUMMYFUNCTION("""COMPUTED_VALUE"""),2024.0)</f>
        <v>2024</v>
      </c>
      <c r="D890" s="8" t="str">
        <f>IFERROR(__xludf.DUMMYFUNCTION("""COMPUTED_VALUE"""),"2024/2025")</f>
        <v>2024/2025</v>
      </c>
      <c r="E890" s="9">
        <f>IFERROR(__xludf.DUMMYFUNCTION("""COMPUTED_VALUE"""),45657.0)</f>
        <v>45657</v>
      </c>
      <c r="F890" s="5" t="str">
        <f>IFERROR(__xludf.DUMMYFUNCTION("""COMPUTED_VALUE"""),"Ganjil")</f>
        <v>Ganjil</v>
      </c>
      <c r="G890" s="5" t="str">
        <f>IFERROR(__xludf.DUMMYFUNCTION("""COMPUTED_VALUE"""),"Manajemen")</f>
        <v>Manajemen</v>
      </c>
      <c r="H890" s="10" t="str">
        <f>IFERROR(__xludf.DUMMYFUNCTION("""COMPUTED_VALUE"""),"Dosen")</f>
        <v>Dosen</v>
      </c>
      <c r="I890" s="6" t="str">
        <f>IFERROR(__xludf.DUMMYFUNCTION("""COMPUTED_VALUE"""),"Muhammad Syihabuddin")</f>
        <v>Muhammad Syihabuddin</v>
      </c>
      <c r="J890" s="6"/>
      <c r="K890" s="6"/>
      <c r="L890" s="6"/>
      <c r="M890" s="6"/>
      <c r="N890" s="6"/>
      <c r="O890" s="6"/>
      <c r="P890" s="10"/>
      <c r="Q890" s="11" t="str">
        <f>IFERROR(__xludf.DUMMYFUNCTION("""COMPUTED_VALUE"""),"https://jurnalpengabdian.stiesurakarta.ac.id/index.php/Dms/article/view/126")</f>
        <v>https://jurnalpengabdian.stiesurakarta.ac.id/index.php/Dms/article/view/126</v>
      </c>
      <c r="R890" s="6"/>
    </row>
    <row r="891">
      <c r="A891" s="5">
        <f>IFERROR(__xludf.DUMMYFUNCTION("""COMPUTED_VALUE"""),890.0)</f>
        <v>890</v>
      </c>
      <c r="B891" s="6" t="str">
        <f>IFERROR(__xludf.DUMMYFUNCTION("""COMPUTED_VALUE"""),"PENGUATAN MODERASI AGAMA MENUJU MASYARAKAT BOYOLALI YANG CERDAS, UNGGUL &amp; BERBUDAYA")</f>
        <v>PENGUATAN MODERASI AGAMA MENUJU MASYARAKAT BOYOLALI YANG CERDAS, UNGGUL &amp; BERBUDAYA</v>
      </c>
      <c r="C891" s="7">
        <f>IFERROR(__xludf.DUMMYFUNCTION("""COMPUTED_VALUE"""),2025.0)</f>
        <v>2025</v>
      </c>
      <c r="D891" s="8" t="str">
        <f>IFERROR(__xludf.DUMMYFUNCTION("""COMPUTED_VALUE"""),"2024/2025")</f>
        <v>2024/2025</v>
      </c>
      <c r="E891" s="9">
        <f>IFERROR(__xludf.DUMMYFUNCTION("""COMPUTED_VALUE"""),45658.0)</f>
        <v>45658</v>
      </c>
      <c r="F891" s="5" t="str">
        <f>IFERROR(__xludf.DUMMYFUNCTION("""COMPUTED_VALUE"""),"Ganjil")</f>
        <v>Ganjil</v>
      </c>
      <c r="G891" s="5" t="str">
        <f>IFERROR(__xludf.DUMMYFUNCTION("""COMPUTED_VALUE"""),"Manajemen")</f>
        <v>Manajemen</v>
      </c>
      <c r="H891" s="10" t="str">
        <f>IFERROR(__xludf.DUMMYFUNCTION("""COMPUTED_VALUE"""),"Dosen")</f>
        <v>Dosen</v>
      </c>
      <c r="I891" s="6" t="str">
        <f>IFERROR(__xludf.DUMMYFUNCTION("""COMPUTED_VALUE"""),"Muhammad Jalari")</f>
        <v>Muhammad Jalari</v>
      </c>
      <c r="J891" s="6" t="str">
        <f>IFERROR(__xludf.DUMMYFUNCTION("""COMPUTED_VALUE"""),"Christiawan Hendratmoko")</f>
        <v>Christiawan Hendratmoko</v>
      </c>
      <c r="K891" s="6" t="str">
        <f>IFERROR(__xludf.DUMMYFUNCTION("""COMPUTED_VALUE"""),"Andri Nurtantiono")</f>
        <v>Andri Nurtantiono</v>
      </c>
      <c r="L891" s="6" t="str">
        <f>IFERROR(__xludf.DUMMYFUNCTION("""COMPUTED_VALUE"""),"Heny Kurnianingsih")</f>
        <v>Heny Kurnianingsih</v>
      </c>
      <c r="M891" s="6" t="str">
        <f>IFERROR(__xludf.DUMMYFUNCTION("""COMPUTED_VALUE"""),"Ismunawan")</f>
        <v>Ismunawan</v>
      </c>
      <c r="N891" s="6" t="str">
        <f>IFERROR(__xludf.DUMMYFUNCTION("""COMPUTED_VALUE"""),"Eko Triyanto")</f>
        <v>Eko Triyanto</v>
      </c>
      <c r="O891" s="6"/>
      <c r="P891" s="10"/>
      <c r="Q891" s="11" t="str">
        <f>IFERROR(__xludf.DUMMYFUNCTION("""COMPUTED_VALUE"""),"https://bajangjournal.com/index.php/J-ABDI/article/view/9002")</f>
        <v>https://bajangjournal.com/index.php/J-ABDI/article/view/9002</v>
      </c>
      <c r="R891" s="6"/>
    </row>
    <row r="892">
      <c r="A892" s="5">
        <f>IFERROR(__xludf.DUMMYFUNCTION("""COMPUTED_VALUE"""),891.0)</f>
        <v>891</v>
      </c>
      <c r="B892" s="6" t="str">
        <f>IFERROR(__xludf.DUMMYFUNCTION("""COMPUTED_VALUE"""),"PENDAMPINGAN PEMBUKUAN SEDERHANA BAGI UMKM CAZZEN GITAR DI NGROMBO KECAMATAN BAKI KABUPATEN SUKOHARJO JAWA TENGAH")</f>
        <v>PENDAMPINGAN PEMBUKUAN SEDERHANA BAGI UMKM CAZZEN GITAR DI NGROMBO KECAMATAN BAKI KABUPATEN SUKOHARJO JAWA TENGAH</v>
      </c>
      <c r="C892" s="7">
        <f>IFERROR(__xludf.DUMMYFUNCTION("""COMPUTED_VALUE"""),2025.0)</f>
        <v>2025</v>
      </c>
      <c r="D892" s="8" t="str">
        <f>IFERROR(__xludf.DUMMYFUNCTION("""COMPUTED_VALUE"""),"2024/2025")</f>
        <v>2024/2025</v>
      </c>
      <c r="E892" s="9">
        <f>IFERROR(__xludf.DUMMYFUNCTION("""COMPUTED_VALUE"""),45658.0)</f>
        <v>45658</v>
      </c>
      <c r="F892" s="5" t="str">
        <f>IFERROR(__xludf.DUMMYFUNCTION("""COMPUTED_VALUE"""),"Ganjil")</f>
        <v>Ganjil</v>
      </c>
      <c r="G892" s="5" t="str">
        <f>IFERROR(__xludf.DUMMYFUNCTION("""COMPUTED_VALUE"""),"Manajemen")</f>
        <v>Manajemen</v>
      </c>
      <c r="H892" s="10" t="str">
        <f>IFERROR(__xludf.DUMMYFUNCTION("""COMPUTED_VALUE"""),"Dosen")</f>
        <v>Dosen</v>
      </c>
      <c r="I892" s="6" t="str">
        <f>IFERROR(__xludf.DUMMYFUNCTION("""COMPUTED_VALUE"""),"Ari Susanti")</f>
        <v>Ari Susanti</v>
      </c>
      <c r="J892" s="6" t="str">
        <f>IFERROR(__xludf.DUMMYFUNCTION("""COMPUTED_VALUE"""),"Era Trianita Saputra")</f>
        <v>Era Trianita Saputra</v>
      </c>
      <c r="K892" s="6" t="str">
        <f>IFERROR(__xludf.DUMMYFUNCTION("""COMPUTED_VALUE"""),"Dewi Ika Octavia")</f>
        <v>Dewi Ika Octavia</v>
      </c>
      <c r="L892" s="6" t="str">
        <f>IFERROR(__xludf.DUMMYFUNCTION("""COMPUTED_VALUE"""),"Zahra Mala Ainurroat")</f>
        <v>Zahra Mala Ainurroat</v>
      </c>
      <c r="M892" s="6" t="str">
        <f>IFERROR(__xludf.DUMMYFUNCTION("""COMPUTED_VALUE"""),"Septia Putri Utami")</f>
        <v>Septia Putri Utami</v>
      </c>
      <c r="N892" s="6" t="str">
        <f>IFERROR(__xludf.DUMMYFUNCTION("""COMPUTED_VALUE"""),"Danang Dwi Saputro")</f>
        <v>Danang Dwi Saputro</v>
      </c>
      <c r="O892" s="6"/>
      <c r="P892" s="10"/>
      <c r="Q892" s="11" t="str">
        <f>IFERROR(__xludf.DUMMYFUNCTION("""COMPUTED_VALUE"""),"https://ejournal.utp.ac.id/index.php/ganesha/article/view/4303")</f>
        <v>https://ejournal.utp.ac.id/index.php/ganesha/article/view/4303</v>
      </c>
      <c r="R892" s="6"/>
    </row>
    <row r="893">
      <c r="A893" s="5">
        <f>IFERROR(__xludf.DUMMYFUNCTION("""COMPUTED_VALUE"""),892.0)</f>
        <v>892</v>
      </c>
      <c r="B893" s="6" t="str">
        <f>IFERROR(__xludf.DUMMYFUNCTION("""COMPUTED_VALUE"""),"The Manipulation of Retail Traders by Market Makers : An Empirical Case from Indonesia")</f>
        <v>The Manipulation of Retail Traders by Market Makers : An Empirical Case from Indonesia</v>
      </c>
      <c r="C893" s="7">
        <f>IFERROR(__xludf.DUMMYFUNCTION("""COMPUTED_VALUE"""),2025.0)</f>
        <v>2025</v>
      </c>
      <c r="D893" s="8" t="str">
        <f>IFERROR(__xludf.DUMMYFUNCTION("""COMPUTED_VALUE"""),"2024/2025")</f>
        <v>2024/2025</v>
      </c>
      <c r="E893" s="9">
        <f>IFERROR(__xludf.DUMMYFUNCTION("""COMPUTED_VALUE"""),45659.0)</f>
        <v>45659</v>
      </c>
      <c r="F893" s="5" t="str">
        <f>IFERROR(__xludf.DUMMYFUNCTION("""COMPUTED_VALUE"""),"Ganjil")</f>
        <v>Ganjil</v>
      </c>
      <c r="G893" s="5" t="str">
        <f>IFERROR(__xludf.DUMMYFUNCTION("""COMPUTED_VALUE"""),"Manajemen")</f>
        <v>Manajemen</v>
      </c>
      <c r="H893" s="10" t="str">
        <f>IFERROR(__xludf.DUMMYFUNCTION("""COMPUTED_VALUE"""),"Dosen")</f>
        <v>Dosen</v>
      </c>
      <c r="I893" s="6" t="str">
        <f>IFERROR(__xludf.DUMMYFUNCTION("""COMPUTED_VALUE"""),"Heny Kurnianingsih")</f>
        <v>Heny Kurnianingsih</v>
      </c>
      <c r="J893" s="6" t="str">
        <f>IFERROR(__xludf.DUMMYFUNCTION("""COMPUTED_VALUE"""),"Sidiq Adin Hakiki")</f>
        <v>Sidiq Adin Hakiki</v>
      </c>
      <c r="K893" s="6" t="str">
        <f>IFERROR(__xludf.DUMMYFUNCTION("""COMPUTED_VALUE"""),"Andri Nurtantiono")</f>
        <v>Andri Nurtantiono</v>
      </c>
      <c r="L893" s="6" t="str">
        <f>IFERROR(__xludf.DUMMYFUNCTION("""COMPUTED_VALUE"""),"Ismunawan")</f>
        <v>Ismunawan</v>
      </c>
      <c r="M893" s="6" t="str">
        <f>IFERROR(__xludf.DUMMYFUNCTION("""COMPUTED_VALUE"""),"Christiawan Hendratmoko")</f>
        <v>Christiawan Hendratmoko</v>
      </c>
      <c r="N893" s="6"/>
      <c r="O893" s="6"/>
      <c r="P893" s="10"/>
      <c r="Q893" s="11" t="str">
        <f>IFERROR(__xludf.DUMMYFUNCTION("""COMPUTED_VALUE"""),"https://prosiding.areai.or.id/index.php/ICEAT/article/view/88/112")</f>
        <v>https://prosiding.areai.or.id/index.php/ICEAT/article/view/88/112</v>
      </c>
      <c r="R893" s="6"/>
    </row>
    <row r="894">
      <c r="A894" s="5">
        <f>IFERROR(__xludf.DUMMYFUNCTION("""COMPUTED_VALUE"""),893.0)</f>
        <v>893</v>
      </c>
      <c r="B894" s="6" t="str">
        <f>IFERROR(__xludf.DUMMYFUNCTION("""COMPUTED_VALUE"""),"Rebranding Logo dan Desain Packaging untuk UMKM Wiro Kopi di Desa Wirogomo, Banyu Biru, Semarang")</f>
        <v>Rebranding Logo dan Desain Packaging untuk UMKM Wiro Kopi di Desa Wirogomo, Banyu Biru, Semarang</v>
      </c>
      <c r="C894" s="7">
        <f>IFERROR(__xludf.DUMMYFUNCTION("""COMPUTED_VALUE"""),2025.0)</f>
        <v>2025</v>
      </c>
      <c r="D894" s="8" t="str">
        <f>IFERROR(__xludf.DUMMYFUNCTION("""COMPUTED_VALUE"""),"2024/2025")</f>
        <v>2024/2025</v>
      </c>
      <c r="E894" s="9">
        <f>IFERROR(__xludf.DUMMYFUNCTION("""COMPUTED_VALUE"""),45675.0)</f>
        <v>45675</v>
      </c>
      <c r="F894" s="5" t="str">
        <f>IFERROR(__xludf.DUMMYFUNCTION("""COMPUTED_VALUE"""),"Ganjil")</f>
        <v>Ganjil</v>
      </c>
      <c r="G894" s="5" t="str">
        <f>IFERROR(__xludf.DUMMYFUNCTION("""COMPUTED_VALUE"""),"Manajemen")</f>
        <v>Manajemen</v>
      </c>
      <c r="H894" s="10" t="str">
        <f>IFERROR(__xludf.DUMMYFUNCTION("""COMPUTED_VALUE"""),"Dosen")</f>
        <v>Dosen</v>
      </c>
      <c r="I894" s="6" t="str">
        <f>IFERROR(__xludf.DUMMYFUNCTION("""COMPUTED_VALUE"""),"Satria Veriansyah Wiguna")</f>
        <v>Satria Veriansyah Wiguna</v>
      </c>
      <c r="J894" s="6" t="str">
        <f>IFERROR(__xludf.DUMMYFUNCTION("""COMPUTED_VALUE"""),"Muhammad Wahyu Ramadan")</f>
        <v>Muhammad Wahyu Ramadan</v>
      </c>
      <c r="K894" s="6"/>
      <c r="L894" s="6"/>
      <c r="M894" s="6"/>
      <c r="N894" s="6"/>
      <c r="O894" s="6"/>
      <c r="P894" s="10"/>
      <c r="Q894" s="11" t="str">
        <f>IFERROR(__xludf.DUMMYFUNCTION("""COMPUTED_VALUE"""),"https://ejournal.stih-awanglong.ac.id/index.php/awal/article/view/1408")</f>
        <v>https://ejournal.stih-awanglong.ac.id/index.php/awal/article/view/1408</v>
      </c>
      <c r="R894" s="6"/>
    </row>
    <row r="895">
      <c r="A895" s="5">
        <f>IFERROR(__xludf.DUMMYFUNCTION("""COMPUTED_VALUE"""),894.0)</f>
        <v>894</v>
      </c>
      <c r="B895" s="6" t="str">
        <f>IFERROR(__xludf.DUMMYFUNCTION("""COMPUTED_VALUE"""),"Pendampingan Pembuatan Buyer Persona Produk Roasted Coffee Beans UMKM Wirokopi Di Desa Wirogomo, Banyubiru")</f>
        <v>Pendampingan Pembuatan Buyer Persona Produk Roasted Coffee Beans UMKM Wirokopi Di Desa Wirogomo, Banyubiru</v>
      </c>
      <c r="C895" s="7">
        <f>IFERROR(__xludf.DUMMYFUNCTION("""COMPUTED_VALUE"""),2025.0)</f>
        <v>2025</v>
      </c>
      <c r="D895" s="8" t="str">
        <f>IFERROR(__xludf.DUMMYFUNCTION("""COMPUTED_VALUE"""),"2024/2025")</f>
        <v>2024/2025</v>
      </c>
      <c r="E895" s="9">
        <f>IFERROR(__xludf.DUMMYFUNCTION("""COMPUTED_VALUE"""),45677.0)</f>
        <v>45677</v>
      </c>
      <c r="F895" s="5" t="str">
        <f>IFERROR(__xludf.DUMMYFUNCTION("""COMPUTED_VALUE"""),"Ganjil")</f>
        <v>Ganjil</v>
      </c>
      <c r="G895" s="5" t="str">
        <f>IFERROR(__xludf.DUMMYFUNCTION("""COMPUTED_VALUE"""),"Manajemen")</f>
        <v>Manajemen</v>
      </c>
      <c r="H895" s="10" t="str">
        <f>IFERROR(__xludf.DUMMYFUNCTION("""COMPUTED_VALUE"""),"Dosen")</f>
        <v>Dosen</v>
      </c>
      <c r="I895" s="6" t="str">
        <f>IFERROR(__xludf.DUMMYFUNCTION("""COMPUTED_VALUE"""),"Aditya Liliyan")</f>
        <v>Aditya Liliyan</v>
      </c>
      <c r="J895" s="6"/>
      <c r="K895" s="6"/>
      <c r="L895" s="6"/>
      <c r="M895" s="6"/>
      <c r="N895" s="6"/>
      <c r="O895" s="6"/>
      <c r="P895" s="10"/>
      <c r="Q895" s="11" t="str">
        <f>IFERROR(__xludf.DUMMYFUNCTION("""COMPUTED_VALUE"""),"https://drive.google.com/file/d/1ALIjOX_vneiE4gvx4OayAgjbxnYRSdwF/view?usp=drive_link")</f>
        <v>https://drive.google.com/file/d/1ALIjOX_vneiE4gvx4OayAgjbxnYRSdwF/view?usp=drive_link</v>
      </c>
      <c r="R895" s="11" t="str">
        <f>IFERROR(__xludf.DUMMYFUNCTION("""COMPUTED_VALUE"""),"https://jurnalpengabdian.stiesurakarta.ac.id/index.php/Dms/article/view/119")</f>
        <v>https://jurnalpengabdian.stiesurakarta.ac.id/index.php/Dms/article/view/119</v>
      </c>
    </row>
    <row r="896">
      <c r="A896" s="5">
        <f>IFERROR(__xludf.DUMMYFUNCTION("""COMPUTED_VALUE"""),895.0)</f>
        <v>895</v>
      </c>
      <c r="B896" s="6" t="str">
        <f>IFERROR(__xludf.DUMMYFUNCTION("""COMPUTED_VALUE"""),"Pengaruh Brand Image dan Harga Terhadap Keputusan Pembelian Furnitur di Toko Jempol Solo")</f>
        <v>Pengaruh Brand Image dan Harga Terhadap Keputusan Pembelian Furnitur di Toko Jempol Solo</v>
      </c>
      <c r="C896" s="7">
        <f>IFERROR(__xludf.DUMMYFUNCTION("""COMPUTED_VALUE"""),2025.0)</f>
        <v>2025</v>
      </c>
      <c r="D896" s="8" t="str">
        <f>IFERROR(__xludf.DUMMYFUNCTION("""COMPUTED_VALUE"""),"2024/2025")</f>
        <v>2024/2025</v>
      </c>
      <c r="E896" s="9">
        <f>IFERROR(__xludf.DUMMYFUNCTION("""COMPUTED_VALUE"""),45678.0)</f>
        <v>45678</v>
      </c>
      <c r="F896" s="5" t="str">
        <f>IFERROR(__xludf.DUMMYFUNCTION("""COMPUTED_VALUE"""),"Ganjil")</f>
        <v>Ganjil</v>
      </c>
      <c r="G896" s="5" t="str">
        <f>IFERROR(__xludf.DUMMYFUNCTION("""COMPUTED_VALUE"""),"Manajemen")</f>
        <v>Manajemen</v>
      </c>
      <c r="H896" s="10" t="str">
        <f>IFERROR(__xludf.DUMMYFUNCTION("""COMPUTED_VALUE"""),"Mahasiswa")</f>
        <v>Mahasiswa</v>
      </c>
      <c r="I896" s="6" t="str">
        <f>IFERROR(__xludf.DUMMYFUNCTION("""COMPUTED_VALUE"""),"Anggi Ambarwati")</f>
        <v>Anggi Ambarwati</v>
      </c>
      <c r="J896" s="6" t="str">
        <f>IFERROR(__xludf.DUMMYFUNCTION("""COMPUTED_VALUE"""),"Muhammad Syihabuddin")</f>
        <v>Muhammad Syihabuddin</v>
      </c>
      <c r="K896" s="6"/>
      <c r="L896" s="6"/>
      <c r="M896" s="6"/>
      <c r="N896" s="6"/>
      <c r="O896" s="6"/>
      <c r="P896" s="10" t="str">
        <f>IFERROR(__xludf.DUMMYFUNCTION("""COMPUTED_VALUE"""),"Anggi Ambarwati, Muhammad Syihabuddin")</f>
        <v>Anggi Ambarwati, Muhammad Syihabuddin</v>
      </c>
      <c r="Q896" s="11" t="str">
        <f>IFERROR(__xludf.DUMMYFUNCTION("""COMPUTED_VALUE"""),"https://repository.stiesurakarta.ac.id/submission/dc7502b9-3bd3-4565-9c98-7230220eccb7")</f>
        <v>https://repository.stiesurakarta.ac.id/submission/dc7502b9-3bd3-4565-9c98-7230220eccb7</v>
      </c>
      <c r="R896" s="6"/>
    </row>
    <row r="897">
      <c r="A897" s="5">
        <f>IFERROR(__xludf.DUMMYFUNCTION("""COMPUTED_VALUE"""),896.0)</f>
        <v>896</v>
      </c>
      <c r="B897" s="6" t="str">
        <f>IFERROR(__xludf.DUMMYFUNCTION("""COMPUTED_VALUE"""),"Analisis Penggunaan Rekam Medis Elektronik Dalam Upaya Meningkatkan Loyalitas Pasien di Praktek Dokter Gigi “ABC” diKabupaten Boyolali")</f>
        <v>Analisis Penggunaan Rekam Medis Elektronik Dalam Upaya Meningkatkan Loyalitas Pasien di Praktek Dokter Gigi “ABC” diKabupaten Boyolali</v>
      </c>
      <c r="C897" s="7">
        <f>IFERROR(__xludf.DUMMYFUNCTION("""COMPUTED_VALUE"""),2025.0)</f>
        <v>2025</v>
      </c>
      <c r="D897" s="8" t="str">
        <f>IFERROR(__xludf.DUMMYFUNCTION("""COMPUTED_VALUE"""),"2024/2025")</f>
        <v>2024/2025</v>
      </c>
      <c r="E897" s="9">
        <f>IFERROR(__xludf.DUMMYFUNCTION("""COMPUTED_VALUE"""),45679.0)</f>
        <v>45679</v>
      </c>
      <c r="F897" s="5" t="str">
        <f>IFERROR(__xludf.DUMMYFUNCTION("""COMPUTED_VALUE"""),"Ganjil")</f>
        <v>Ganjil</v>
      </c>
      <c r="G897" s="5" t="str">
        <f>IFERROR(__xludf.DUMMYFUNCTION("""COMPUTED_VALUE"""),"Manajemen")</f>
        <v>Manajemen</v>
      </c>
      <c r="H897" s="10" t="str">
        <f>IFERROR(__xludf.DUMMYFUNCTION("""COMPUTED_VALUE"""),"Mahasiswa")</f>
        <v>Mahasiswa</v>
      </c>
      <c r="I897" s="6" t="str">
        <f>IFERROR(__xludf.DUMMYFUNCTION("""COMPUTED_VALUE"""),"Diva Prima Winahyu,")</f>
        <v>Diva Prima Winahyu,</v>
      </c>
      <c r="J897" s="6" t="str">
        <f>IFERROR(__xludf.DUMMYFUNCTION("""COMPUTED_VALUE"""),"Ari Susanti")</f>
        <v>Ari Susanti</v>
      </c>
      <c r="K897" s="6"/>
      <c r="L897" s="6"/>
      <c r="M897" s="6"/>
      <c r="N897" s="6"/>
      <c r="O897" s="6"/>
      <c r="P897" s="10" t="str">
        <f>IFERROR(__xludf.DUMMYFUNCTION("""COMPUTED_VALUE"""),"Diva Prima Winahyu,, Ari Susanti")</f>
        <v>Diva Prima Winahyu,, Ari Susanti</v>
      </c>
      <c r="Q897" s="11" t="str">
        <f>IFERROR(__xludf.DUMMYFUNCTION("""COMPUTED_VALUE"""),"https://repository.stiesurakarta.ac.id/submission/62bf2f6c-0d7b-4534-be48-c96751fffcf6")</f>
        <v>https://repository.stiesurakarta.ac.id/submission/62bf2f6c-0d7b-4534-be48-c96751fffcf6</v>
      </c>
      <c r="R897" s="6"/>
    </row>
    <row r="898">
      <c r="A898" s="5">
        <f>IFERROR(__xludf.DUMMYFUNCTION("""COMPUTED_VALUE"""),897.0)</f>
        <v>897</v>
      </c>
      <c r="B898" s="6" t="str">
        <f>IFERROR(__xludf.DUMMYFUNCTION("""COMPUTED_VALUE"""),"ANALISIS MANAJEMEN EVENT WEDDING ORGANIZER SELARAS SEDJIWA DI KOTA SOLO")</f>
        <v>ANALISIS MANAJEMEN EVENT WEDDING ORGANIZER SELARAS SEDJIWA DI KOTA SOLO</v>
      </c>
      <c r="C898" s="7">
        <f>IFERROR(__xludf.DUMMYFUNCTION("""COMPUTED_VALUE"""),2025.0)</f>
        <v>2025</v>
      </c>
      <c r="D898" s="8" t="str">
        <f>IFERROR(__xludf.DUMMYFUNCTION("""COMPUTED_VALUE"""),"2024/2025")</f>
        <v>2024/2025</v>
      </c>
      <c r="E898" s="9">
        <f>IFERROR(__xludf.DUMMYFUNCTION("""COMPUTED_VALUE"""),45679.0)</f>
        <v>45679</v>
      </c>
      <c r="F898" s="5" t="str">
        <f>IFERROR(__xludf.DUMMYFUNCTION("""COMPUTED_VALUE"""),"Ganjil")</f>
        <v>Ganjil</v>
      </c>
      <c r="G898" s="5" t="str">
        <f>IFERROR(__xludf.DUMMYFUNCTION("""COMPUTED_VALUE"""),"Manajemen")</f>
        <v>Manajemen</v>
      </c>
      <c r="H898" s="10" t="str">
        <f>IFERROR(__xludf.DUMMYFUNCTION("""COMPUTED_VALUE"""),"Mahasiswa")</f>
        <v>Mahasiswa</v>
      </c>
      <c r="I898" s="6" t="str">
        <f>IFERROR(__xludf.DUMMYFUNCTION("""COMPUTED_VALUE"""),"Dyah Ayu Permata Sari")</f>
        <v>Dyah Ayu Permata Sari</v>
      </c>
      <c r="J898" s="6" t="str">
        <f>IFERROR(__xludf.DUMMYFUNCTION("""COMPUTED_VALUE"""),"Ari Susanti")</f>
        <v>Ari Susanti</v>
      </c>
      <c r="K898" s="6"/>
      <c r="L898" s="6"/>
      <c r="M898" s="6"/>
      <c r="N898" s="6"/>
      <c r="O898" s="6"/>
      <c r="P898" s="10" t="str">
        <f>IFERROR(__xludf.DUMMYFUNCTION("""COMPUTED_VALUE"""),"Dyah Ayu Permata Sari, Ari Susanti")</f>
        <v>Dyah Ayu Permata Sari, Ari Susanti</v>
      </c>
      <c r="Q898" s="11" t="str">
        <f>IFERROR(__xludf.DUMMYFUNCTION("""COMPUTED_VALUE"""),"https://repository.stiesurakarta.ac.id/submission/036f1d34-e9bc-45db-8ab5-849abce44aea")</f>
        <v>https://repository.stiesurakarta.ac.id/submission/036f1d34-e9bc-45db-8ab5-849abce44aea</v>
      </c>
      <c r="R898" s="6"/>
    </row>
    <row r="899">
      <c r="A899" s="5">
        <f>IFERROR(__xludf.DUMMYFUNCTION("""COMPUTED_VALUE"""),898.0)</f>
        <v>898</v>
      </c>
      <c r="B899" s="6" t="str">
        <f>IFERROR(__xludf.DUMMYFUNCTION("""COMPUTED_VALUE"""),"Pengaruh Brand Image, Event Marketing dan Perilaku Konsumtif terhadap Minat Beli Merchandise K-pop (Studi Kasus Pada Member G.O NCT Dream Indonesia)")</f>
        <v>Pengaruh Brand Image, Event Marketing dan Perilaku Konsumtif terhadap Minat Beli Merchandise K-pop (Studi Kasus Pada Member G.O NCT Dream Indonesia)</v>
      </c>
      <c r="C899" s="7">
        <f>IFERROR(__xludf.DUMMYFUNCTION("""COMPUTED_VALUE"""),2025.0)</f>
        <v>2025</v>
      </c>
      <c r="D899" s="8" t="str">
        <f>IFERROR(__xludf.DUMMYFUNCTION("""COMPUTED_VALUE"""),"2024/2025")</f>
        <v>2024/2025</v>
      </c>
      <c r="E899" s="9">
        <f>IFERROR(__xludf.DUMMYFUNCTION("""COMPUTED_VALUE"""),45679.0)</f>
        <v>45679</v>
      </c>
      <c r="F899" s="5" t="str">
        <f>IFERROR(__xludf.DUMMYFUNCTION("""COMPUTED_VALUE"""),"Ganjil")</f>
        <v>Ganjil</v>
      </c>
      <c r="G899" s="5" t="str">
        <f>IFERROR(__xludf.DUMMYFUNCTION("""COMPUTED_VALUE"""),"Manajemen")</f>
        <v>Manajemen</v>
      </c>
      <c r="H899" s="10" t="str">
        <f>IFERROR(__xludf.DUMMYFUNCTION("""COMPUTED_VALUE"""),"Mahasiswa")</f>
        <v>Mahasiswa</v>
      </c>
      <c r="I899" s="6" t="str">
        <f>IFERROR(__xludf.DUMMYFUNCTION("""COMPUTED_VALUE"""),"Maharani Ica Candra Kirana")</f>
        <v>Maharani Ica Candra Kirana</v>
      </c>
      <c r="J899" s="6" t="str">
        <f>IFERROR(__xludf.DUMMYFUNCTION("""COMPUTED_VALUE"""),"Ari Susanti")</f>
        <v>Ari Susanti</v>
      </c>
      <c r="K899" s="6"/>
      <c r="L899" s="6"/>
      <c r="M899" s="6"/>
      <c r="N899" s="6"/>
      <c r="O899" s="6"/>
      <c r="P899" s="10" t="str">
        <f>IFERROR(__xludf.DUMMYFUNCTION("""COMPUTED_VALUE"""),"Maharani Ica Candra Kirana, Ari Susanti")</f>
        <v>Maharani Ica Candra Kirana, Ari Susanti</v>
      </c>
      <c r="Q899" s="11" t="str">
        <f>IFERROR(__xludf.DUMMYFUNCTION("""COMPUTED_VALUE"""),"https://repository.stiesurakarta.ac.id/submission/98bfd552-8c67-44fc-987a-b9bffd1cc9e3")</f>
        <v>https://repository.stiesurakarta.ac.id/submission/98bfd552-8c67-44fc-987a-b9bffd1cc9e3</v>
      </c>
      <c r="R899" s="6"/>
    </row>
    <row r="900">
      <c r="A900" s="5">
        <f>IFERROR(__xludf.DUMMYFUNCTION("""COMPUTED_VALUE"""),899.0)</f>
        <v>899</v>
      </c>
      <c r="B900" s="6" t="str">
        <f>IFERROR(__xludf.DUMMYFUNCTION("""COMPUTED_VALUE"""),"Implementasi Sistem Akuntansi Excel Untuk Meningkatkan Efisiensi Pengelolaan Stock opname Dan Transaksi Penjualan DiUKM Parfum XYZ")</f>
        <v>Implementasi Sistem Akuntansi Excel Untuk Meningkatkan Efisiensi Pengelolaan Stock opname Dan Transaksi Penjualan DiUKM Parfum XYZ</v>
      </c>
      <c r="C900" s="7">
        <f>IFERROR(__xludf.DUMMYFUNCTION("""COMPUTED_VALUE"""),2025.0)</f>
        <v>2025</v>
      </c>
      <c r="D900" s="8" t="str">
        <f>IFERROR(__xludf.DUMMYFUNCTION("""COMPUTED_VALUE"""),"2024/2025")</f>
        <v>2024/2025</v>
      </c>
      <c r="E900" s="9">
        <f>IFERROR(__xludf.DUMMYFUNCTION("""COMPUTED_VALUE"""),45679.0)</f>
        <v>45679</v>
      </c>
      <c r="F900" s="5" t="str">
        <f>IFERROR(__xludf.DUMMYFUNCTION("""COMPUTED_VALUE"""),"Ganjil")</f>
        <v>Ganjil</v>
      </c>
      <c r="G900" s="5" t="str">
        <f>IFERROR(__xludf.DUMMYFUNCTION("""COMPUTED_VALUE"""),"Manajemen")</f>
        <v>Manajemen</v>
      </c>
      <c r="H900" s="10" t="str">
        <f>IFERROR(__xludf.DUMMYFUNCTION("""COMPUTED_VALUE"""),"Mahasiswa")</f>
        <v>Mahasiswa</v>
      </c>
      <c r="I900" s="6" t="str">
        <f>IFERROR(__xludf.DUMMYFUNCTION("""COMPUTED_VALUE"""),"Ardelia Kartika Devina Edria")</f>
        <v>Ardelia Kartika Devina Edria</v>
      </c>
      <c r="J900" s="6" t="str">
        <f>IFERROR(__xludf.DUMMYFUNCTION("""COMPUTED_VALUE"""),"Ari Susanti")</f>
        <v>Ari Susanti</v>
      </c>
      <c r="K900" s="6"/>
      <c r="L900" s="6"/>
      <c r="M900" s="6"/>
      <c r="N900" s="6"/>
      <c r="O900" s="6"/>
      <c r="P900" s="10" t="str">
        <f>IFERROR(__xludf.DUMMYFUNCTION("""COMPUTED_VALUE"""),"Ardelia Kartika Devina Edria, Ari Susanti")</f>
        <v>Ardelia Kartika Devina Edria, Ari Susanti</v>
      </c>
      <c r="Q900" s="11" t="str">
        <f>IFERROR(__xludf.DUMMYFUNCTION("""COMPUTED_VALUE"""),"https://repository.stiesurakarta.ac.id/submission/47c3faee-c2f6-488e-b97c-920e689cd793")</f>
        <v>https://repository.stiesurakarta.ac.id/submission/47c3faee-c2f6-488e-b97c-920e689cd793</v>
      </c>
      <c r="R900" s="6"/>
    </row>
    <row r="901">
      <c r="A901" s="5">
        <f>IFERROR(__xludf.DUMMYFUNCTION("""COMPUTED_VALUE"""),900.0)</f>
        <v>900</v>
      </c>
      <c r="B901" s="6" t="str">
        <f>IFERROR(__xludf.DUMMYFUNCTION("""COMPUTED_VALUE"""),"ANALISIS SALURAN DISTRIBUSI PADA CV. INDIGO ABIMANTRANA DISTRIBUTION SUKOHARJO")</f>
        <v>ANALISIS SALURAN DISTRIBUSI PADA CV. INDIGO ABIMANTRANA DISTRIBUTION SUKOHARJO</v>
      </c>
      <c r="C901" s="7">
        <f>IFERROR(__xludf.DUMMYFUNCTION("""COMPUTED_VALUE"""),2025.0)</f>
        <v>2025</v>
      </c>
      <c r="D901" s="8" t="str">
        <f>IFERROR(__xludf.DUMMYFUNCTION("""COMPUTED_VALUE"""),"2024/2025")</f>
        <v>2024/2025</v>
      </c>
      <c r="E901" s="9">
        <f>IFERROR(__xludf.DUMMYFUNCTION("""COMPUTED_VALUE"""),45680.0)</f>
        <v>45680</v>
      </c>
      <c r="F901" s="5" t="str">
        <f>IFERROR(__xludf.DUMMYFUNCTION("""COMPUTED_VALUE"""),"Ganjil")</f>
        <v>Ganjil</v>
      </c>
      <c r="G901" s="5" t="str">
        <f>IFERROR(__xludf.DUMMYFUNCTION("""COMPUTED_VALUE"""),"Manajemen")</f>
        <v>Manajemen</v>
      </c>
      <c r="H901" s="10" t="str">
        <f>IFERROR(__xludf.DUMMYFUNCTION("""COMPUTED_VALUE"""),"Mahasiswa")</f>
        <v>Mahasiswa</v>
      </c>
      <c r="I901" s="6" t="str">
        <f>IFERROR(__xludf.DUMMYFUNCTION("""COMPUTED_VALUE"""),"Betna Tiara Nugroho")</f>
        <v>Betna Tiara Nugroho</v>
      </c>
      <c r="J901" s="6" t="str">
        <f>IFERROR(__xludf.DUMMYFUNCTION("""COMPUTED_VALUE"""),"Ari Susanti")</f>
        <v>Ari Susanti</v>
      </c>
      <c r="K901" s="6"/>
      <c r="L901" s="6"/>
      <c r="M901" s="6"/>
      <c r="N901" s="6"/>
      <c r="O901" s="6"/>
      <c r="P901" s="10" t="str">
        <f>IFERROR(__xludf.DUMMYFUNCTION("""COMPUTED_VALUE"""),"Betna Tiara Nugroho, Ari Susanti")</f>
        <v>Betna Tiara Nugroho, Ari Susanti</v>
      </c>
      <c r="Q901" s="11" t="str">
        <f>IFERROR(__xludf.DUMMYFUNCTION("""COMPUTED_VALUE"""),"https://repository.stiesurakarta.ac.id/submission/3c50f7d3-b03a-48cc-8b84-f3d09eab6c27")</f>
        <v>https://repository.stiesurakarta.ac.id/submission/3c50f7d3-b03a-48cc-8b84-f3d09eab6c27</v>
      </c>
      <c r="R901" s="6"/>
    </row>
    <row r="902">
      <c r="A902" s="5">
        <f>IFERROR(__xludf.DUMMYFUNCTION("""COMPUTED_VALUE"""),901.0)</f>
        <v>901</v>
      </c>
      <c r="B902" s="6" t="str">
        <f>IFERROR(__xludf.DUMMYFUNCTION("""COMPUTED_VALUE"""),"ANALISIS PENGENDALIAN PERSEDIAAN BAHAN BAKU DENGAN METODE EOQ (ECONOMIC ORDER QUANTITY) PADA HOME INDUSTRY KARAK GALIH DI KABUPATEN SUKOHARJO")</f>
        <v>ANALISIS PENGENDALIAN PERSEDIAAN BAHAN BAKU DENGAN METODE EOQ (ECONOMIC ORDER QUANTITY) PADA HOME INDUSTRY KARAK GALIH DI KABUPATEN SUKOHARJO</v>
      </c>
      <c r="C902" s="7">
        <f>IFERROR(__xludf.DUMMYFUNCTION("""COMPUTED_VALUE"""),2025.0)</f>
        <v>2025</v>
      </c>
      <c r="D902" s="8" t="str">
        <f>IFERROR(__xludf.DUMMYFUNCTION("""COMPUTED_VALUE"""),"2024/2025")</f>
        <v>2024/2025</v>
      </c>
      <c r="E902" s="9">
        <f>IFERROR(__xludf.DUMMYFUNCTION("""COMPUTED_VALUE"""),45680.0)</f>
        <v>45680</v>
      </c>
      <c r="F902" s="5" t="str">
        <f>IFERROR(__xludf.DUMMYFUNCTION("""COMPUTED_VALUE"""),"Ganjil")</f>
        <v>Ganjil</v>
      </c>
      <c r="G902" s="5" t="str">
        <f>IFERROR(__xludf.DUMMYFUNCTION("""COMPUTED_VALUE"""),"Manajemen")</f>
        <v>Manajemen</v>
      </c>
      <c r="H902" s="10" t="str">
        <f>IFERROR(__xludf.DUMMYFUNCTION("""COMPUTED_VALUE"""),"Mahasiswa")</f>
        <v>Mahasiswa</v>
      </c>
      <c r="I902" s="6" t="str">
        <f>IFERROR(__xludf.DUMMYFUNCTION("""COMPUTED_VALUE"""),"Pelangi Sekar Langit Dymas Halilintar")</f>
        <v>Pelangi Sekar Langit Dymas Halilintar</v>
      </c>
      <c r="J902" s="6" t="str">
        <f>IFERROR(__xludf.DUMMYFUNCTION("""COMPUTED_VALUE"""),"Ari Susanti")</f>
        <v>Ari Susanti</v>
      </c>
      <c r="K902" s="6"/>
      <c r="L902" s="6"/>
      <c r="M902" s="6"/>
      <c r="N902" s="6"/>
      <c r="O902" s="6"/>
      <c r="P902" s="10" t="str">
        <f>IFERROR(__xludf.DUMMYFUNCTION("""COMPUTED_VALUE"""),"Pelangi Sekar Langit Dymas Halilintar, Ari Susanti")</f>
        <v>Pelangi Sekar Langit Dymas Halilintar, Ari Susanti</v>
      </c>
      <c r="Q902" s="11" t="str">
        <f>IFERROR(__xludf.DUMMYFUNCTION("""COMPUTED_VALUE"""),"https://repository.stiesurakarta.ac.id/submission/1c470434-e507-4401-841b-bd26a660a9a8")</f>
        <v>https://repository.stiesurakarta.ac.id/submission/1c470434-e507-4401-841b-bd26a660a9a8</v>
      </c>
      <c r="R902" s="6"/>
    </row>
    <row r="903">
      <c r="A903" s="5">
        <f>IFERROR(__xludf.DUMMYFUNCTION("""COMPUTED_VALUE"""),902.0)</f>
        <v>902</v>
      </c>
      <c r="B903" s="6" t="str">
        <f>IFERROR(__xludf.DUMMYFUNCTION("""COMPUTED_VALUE"""),"PENGARUH BUDAYA ORGANISASI AKHLAK DAN DISIPLIN KERJA TERHADAP PRODUKTIVITAS KARYAWAN DEPO LOKOMOTIF SOLO BALAPAN")</f>
        <v>PENGARUH BUDAYA ORGANISASI AKHLAK DAN DISIPLIN KERJA TERHADAP PRODUKTIVITAS KARYAWAN DEPO LOKOMOTIF SOLO BALAPAN</v>
      </c>
      <c r="C903" s="7">
        <f>IFERROR(__xludf.DUMMYFUNCTION("""COMPUTED_VALUE"""),2025.0)</f>
        <v>2025</v>
      </c>
      <c r="D903" s="8" t="str">
        <f>IFERROR(__xludf.DUMMYFUNCTION("""COMPUTED_VALUE"""),"2024/2025")</f>
        <v>2024/2025</v>
      </c>
      <c r="E903" s="9">
        <f>IFERROR(__xludf.DUMMYFUNCTION("""COMPUTED_VALUE"""),45680.0)</f>
        <v>45680</v>
      </c>
      <c r="F903" s="5" t="str">
        <f>IFERROR(__xludf.DUMMYFUNCTION("""COMPUTED_VALUE"""),"Ganjil")</f>
        <v>Ganjil</v>
      </c>
      <c r="G903" s="5" t="str">
        <f>IFERROR(__xludf.DUMMYFUNCTION("""COMPUTED_VALUE"""),"Manajemen")</f>
        <v>Manajemen</v>
      </c>
      <c r="H903" s="10" t="str">
        <f>IFERROR(__xludf.DUMMYFUNCTION("""COMPUTED_VALUE"""),"Mahasiswa")</f>
        <v>Mahasiswa</v>
      </c>
      <c r="I903" s="6" t="str">
        <f>IFERROR(__xludf.DUMMYFUNCTION("""COMPUTED_VALUE"""),"Aditiya Dwi Raharja")</f>
        <v>Aditiya Dwi Raharja</v>
      </c>
      <c r="J903" s="6" t="str">
        <f>IFERROR(__xludf.DUMMYFUNCTION("""COMPUTED_VALUE"""),"Muhammad Syihabuddin")</f>
        <v>Muhammad Syihabuddin</v>
      </c>
      <c r="K903" s="6"/>
      <c r="L903" s="6"/>
      <c r="M903" s="6"/>
      <c r="N903" s="6"/>
      <c r="O903" s="6"/>
      <c r="P903" s="10" t="str">
        <f>IFERROR(__xludf.DUMMYFUNCTION("""COMPUTED_VALUE"""),"Aditiya Dwi Raharja, Muhammad Syihabuddin")</f>
        <v>Aditiya Dwi Raharja, Muhammad Syihabuddin</v>
      </c>
      <c r="Q903" s="11" t="str">
        <f>IFERROR(__xludf.DUMMYFUNCTION("""COMPUTED_VALUE"""),"https://repository.stiesurakarta.ac.id/submission/318022b8-4a31-4cbe-942c-e0df07fead98")</f>
        <v>https://repository.stiesurakarta.ac.id/submission/318022b8-4a31-4cbe-942c-e0df07fead98</v>
      </c>
      <c r="R903" s="6"/>
    </row>
    <row r="904">
      <c r="A904" s="5">
        <f>IFERROR(__xludf.DUMMYFUNCTION("""COMPUTED_VALUE"""),903.0)</f>
        <v>903</v>
      </c>
      <c r="B904" s="6" t="str">
        <f>IFERROR(__xludf.DUMMYFUNCTION("""COMPUTED_VALUE"""),"PENGARUH LIVE STREAMING SELLING, DISKON DAN GRATIS ONGKIR TERHADAP MINAT BELI ONLINE DI SHOPEE PRODUK SKINTIFIC STUDI KASUS: REMAJA SOLO RAYA")</f>
        <v>PENGARUH LIVE STREAMING SELLING, DISKON DAN GRATIS ONGKIR TERHADAP MINAT BELI ONLINE DI SHOPEE PRODUK SKINTIFIC STUDI KASUS: REMAJA SOLO RAYA</v>
      </c>
      <c r="C904" s="7">
        <f>IFERROR(__xludf.DUMMYFUNCTION("""COMPUTED_VALUE"""),2025.0)</f>
        <v>2025</v>
      </c>
      <c r="D904" s="8" t="str">
        <f>IFERROR(__xludf.DUMMYFUNCTION("""COMPUTED_VALUE"""),"2024/2025")</f>
        <v>2024/2025</v>
      </c>
      <c r="E904" s="9">
        <f>IFERROR(__xludf.DUMMYFUNCTION("""COMPUTED_VALUE"""),45680.0)</f>
        <v>45680</v>
      </c>
      <c r="F904" s="5" t="str">
        <f>IFERROR(__xludf.DUMMYFUNCTION("""COMPUTED_VALUE"""),"Ganjil")</f>
        <v>Ganjil</v>
      </c>
      <c r="G904" s="5" t="str">
        <f>IFERROR(__xludf.DUMMYFUNCTION("""COMPUTED_VALUE"""),"Manajemen")</f>
        <v>Manajemen</v>
      </c>
      <c r="H904" s="10" t="str">
        <f>IFERROR(__xludf.DUMMYFUNCTION("""COMPUTED_VALUE"""),"Mahasiswa")</f>
        <v>Mahasiswa</v>
      </c>
      <c r="I904" s="6" t="str">
        <f>IFERROR(__xludf.DUMMYFUNCTION("""COMPUTED_VALUE"""),"Nawang Roihanah")</f>
        <v>Nawang Roihanah</v>
      </c>
      <c r="J904" s="6" t="str">
        <f>IFERROR(__xludf.DUMMYFUNCTION("""COMPUTED_VALUE"""),"Ari Susanti")</f>
        <v>Ari Susanti</v>
      </c>
      <c r="K904" s="6"/>
      <c r="L904" s="6"/>
      <c r="M904" s="6"/>
      <c r="N904" s="6"/>
      <c r="O904" s="6"/>
      <c r="P904" s="10" t="str">
        <f>IFERROR(__xludf.DUMMYFUNCTION("""COMPUTED_VALUE"""),"Nawang Roihanah, Ari Susanti")</f>
        <v>Nawang Roihanah, Ari Susanti</v>
      </c>
      <c r="Q904" s="11" t="str">
        <f>IFERROR(__xludf.DUMMYFUNCTION("""COMPUTED_VALUE"""),"https://repository.stiesurakarta.ac.id/submission/392e2684-b2e6-41c7-896f-096b4be8a671")</f>
        <v>https://repository.stiesurakarta.ac.id/submission/392e2684-b2e6-41c7-896f-096b4be8a671</v>
      </c>
      <c r="R904" s="6"/>
    </row>
    <row r="905">
      <c r="A905" s="5">
        <f>IFERROR(__xludf.DUMMYFUNCTION("""COMPUTED_VALUE"""),904.0)</f>
        <v>904</v>
      </c>
      <c r="B905" s="6" t="str">
        <f>IFERROR(__xludf.DUMMYFUNCTION("""COMPUTED_VALUE"""),"Akuntansi Keuangan Menengah")</f>
        <v>Akuntansi Keuangan Menengah</v>
      </c>
      <c r="C905" s="7">
        <f>IFERROR(__xludf.DUMMYFUNCTION("""COMPUTED_VALUE"""),2025.0)</f>
        <v>2025</v>
      </c>
      <c r="D905" s="8" t="str">
        <f>IFERROR(__xludf.DUMMYFUNCTION("""COMPUTED_VALUE"""),"2024/2025")</f>
        <v>2024/2025</v>
      </c>
      <c r="E905" s="9">
        <f>IFERROR(__xludf.DUMMYFUNCTION("""COMPUTED_VALUE"""),45682.0)</f>
        <v>45682</v>
      </c>
      <c r="F905" s="5" t="str">
        <f>IFERROR(__xludf.DUMMYFUNCTION("""COMPUTED_VALUE"""),"Ganjil")</f>
        <v>Ganjil</v>
      </c>
      <c r="G905" s="5" t="str">
        <f>IFERROR(__xludf.DUMMYFUNCTION("""COMPUTED_VALUE"""),"Akuntansi")</f>
        <v>Akuntansi</v>
      </c>
      <c r="H905" s="10" t="str">
        <f>IFERROR(__xludf.DUMMYFUNCTION("""COMPUTED_VALUE"""),"Dosen")</f>
        <v>Dosen</v>
      </c>
      <c r="I905" s="6" t="str">
        <f>IFERROR(__xludf.DUMMYFUNCTION("""COMPUTED_VALUE"""),"Dewi Ika Octavia")</f>
        <v>Dewi Ika Octavia</v>
      </c>
      <c r="J905" s="6"/>
      <c r="K905" s="6"/>
      <c r="L905" s="6"/>
      <c r="M905" s="6"/>
      <c r="N905" s="6"/>
      <c r="O905" s="6"/>
      <c r="P905" s="10"/>
      <c r="Q905" s="11" t="str">
        <f>IFERROR(__xludf.DUMMYFUNCTION("""COMPUTED_VALUE"""),"https://drive.google.com/file/d/10ZMbcKSFoCupmX0BhnKRWi3RiJvxQiIf/view")</f>
        <v>https://drive.google.com/file/d/10ZMbcKSFoCupmX0BhnKRWi3RiJvxQiIf/view</v>
      </c>
      <c r="R905" s="6"/>
    </row>
    <row r="906">
      <c r="A906" s="5">
        <f>IFERROR(__xludf.DUMMYFUNCTION("""COMPUTED_VALUE"""),905.0)</f>
        <v>905</v>
      </c>
      <c r="B906" s="6" t="str">
        <f>IFERROR(__xludf.DUMMYFUNCTION("""COMPUTED_VALUE"""),"Perilaku Konsumen: Adaptasi Pada Era Digital")</f>
        <v>Perilaku Konsumen: Adaptasi Pada Era Digital</v>
      </c>
      <c r="C906" s="7">
        <f>IFERROR(__xludf.DUMMYFUNCTION("""COMPUTED_VALUE"""),2025.0)</f>
        <v>2025</v>
      </c>
      <c r="D906" s="8" t="str">
        <f>IFERROR(__xludf.DUMMYFUNCTION("""COMPUTED_VALUE"""),"2024/2025")</f>
        <v>2024/2025</v>
      </c>
      <c r="E906" s="9">
        <f>IFERROR(__xludf.DUMMYFUNCTION("""COMPUTED_VALUE"""),45685.0)</f>
        <v>45685</v>
      </c>
      <c r="F906" s="5" t="str">
        <f>IFERROR(__xludf.DUMMYFUNCTION("""COMPUTED_VALUE"""),"Ganjil")</f>
        <v>Ganjil</v>
      </c>
      <c r="G906" s="5" t="str">
        <f>IFERROR(__xludf.DUMMYFUNCTION("""COMPUTED_VALUE"""),"Manajemen")</f>
        <v>Manajemen</v>
      </c>
      <c r="H906" s="10" t="str">
        <f>IFERROR(__xludf.DUMMYFUNCTION("""COMPUTED_VALUE"""),"Dosen")</f>
        <v>Dosen</v>
      </c>
      <c r="I906" s="6" t="str">
        <f>IFERROR(__xludf.DUMMYFUNCTION("""COMPUTED_VALUE"""),"Budi Istiyanto")</f>
        <v>Budi Istiyanto</v>
      </c>
      <c r="J906" s="6"/>
      <c r="K906" s="6"/>
      <c r="L906" s="6"/>
      <c r="M906" s="6"/>
      <c r="N906" s="6"/>
      <c r="O906" s="6"/>
      <c r="P906" s="10"/>
      <c r="Q906" s="11" t="str">
        <f>IFERROR(__xludf.DUMMYFUNCTION("""COMPUTED_VALUE"""),"https://drive.google.com/file/d/1FHfcteRorWdv3Wl5PiJjFsf7XcOyLWzA/view")</f>
        <v>https://drive.google.com/file/d/1FHfcteRorWdv3Wl5PiJjFsf7XcOyLWzA/view</v>
      </c>
      <c r="R906" s="6"/>
    </row>
    <row r="907">
      <c r="A907" s="5">
        <f>IFERROR(__xludf.DUMMYFUNCTION("""COMPUTED_VALUE"""),906.0)</f>
        <v>906</v>
      </c>
      <c r="B907" s="6" t="str">
        <f>IFERROR(__xludf.DUMMYFUNCTION("""COMPUTED_VALUE"""),"Pengaruh Kultural, Sosial, Dan Personal Terhadap Pembelian Barang Virtual (Top Up) Di Game Honkai: Star Rail")</f>
        <v>Pengaruh Kultural, Sosial, Dan Personal Terhadap Pembelian Barang Virtual (Top Up) Di Game Honkai: Star Rail</v>
      </c>
      <c r="C907" s="7">
        <f>IFERROR(__xludf.DUMMYFUNCTION("""COMPUTED_VALUE"""),2025.0)</f>
        <v>2025</v>
      </c>
      <c r="D907" s="8" t="str">
        <f>IFERROR(__xludf.DUMMYFUNCTION("""COMPUTED_VALUE"""),"2024/2025")</f>
        <v>2024/2025</v>
      </c>
      <c r="E907" s="9">
        <f>IFERROR(__xludf.DUMMYFUNCTION("""COMPUTED_VALUE"""),45687.0)</f>
        <v>45687</v>
      </c>
      <c r="F907" s="5" t="str">
        <f>IFERROR(__xludf.DUMMYFUNCTION("""COMPUTED_VALUE"""),"Ganjil")</f>
        <v>Ganjil</v>
      </c>
      <c r="G907" s="5" t="str">
        <f>IFERROR(__xludf.DUMMYFUNCTION("""COMPUTED_VALUE"""),"Manajemen")</f>
        <v>Manajemen</v>
      </c>
      <c r="H907" s="10" t="str">
        <f>IFERROR(__xludf.DUMMYFUNCTION("""COMPUTED_VALUE"""),"Mahasiswa")</f>
        <v>Mahasiswa</v>
      </c>
      <c r="I907" s="6" t="str">
        <f>IFERROR(__xludf.DUMMYFUNCTION("""COMPUTED_VALUE"""),"Rois Robbani")</f>
        <v>Rois Robbani</v>
      </c>
      <c r="J907" s="6" t="str">
        <f>IFERROR(__xludf.DUMMYFUNCTION("""COMPUTED_VALUE"""),"Aditya Liliyan")</f>
        <v>Aditya Liliyan</v>
      </c>
      <c r="K907" s="6"/>
      <c r="L907" s="6"/>
      <c r="M907" s="6"/>
      <c r="N907" s="6"/>
      <c r="O907" s="6"/>
      <c r="P907" s="10" t="str">
        <f>IFERROR(__xludf.DUMMYFUNCTION("""COMPUTED_VALUE"""),"Rois Robbani, Aditya Liliyan")</f>
        <v>Rois Robbani, Aditya Liliyan</v>
      </c>
      <c r="Q907" s="11" t="str">
        <f>IFERROR(__xludf.DUMMYFUNCTION("""COMPUTED_VALUE"""),"https://repository.stiesurakarta.ac.id/submission/8a7d9736-a771-4aac-a21f-6689cd3c5a34")</f>
        <v>https://repository.stiesurakarta.ac.id/submission/8a7d9736-a771-4aac-a21f-6689cd3c5a34</v>
      </c>
      <c r="R907" s="6"/>
    </row>
    <row r="908">
      <c r="A908" s="5">
        <f>IFERROR(__xludf.DUMMYFUNCTION("""COMPUTED_VALUE"""),907.0)</f>
        <v>907</v>
      </c>
      <c r="B908" s="6" t="str">
        <f>IFERROR(__xludf.DUMMYFUNCTION("""COMPUTED_VALUE"""),"ANALISIS FAKTOR-FAKTOR PENYEBAB STRES KERJA DAN STRATEGI PENANGANANNYA DI INDUSTRI MANUFAKTUR PT. XYZ")</f>
        <v>ANALISIS FAKTOR-FAKTOR PENYEBAB STRES KERJA DAN STRATEGI PENANGANANNYA DI INDUSTRI MANUFAKTUR PT. XYZ</v>
      </c>
      <c r="C908" s="7">
        <f>IFERROR(__xludf.DUMMYFUNCTION("""COMPUTED_VALUE"""),2025.0)</f>
        <v>2025</v>
      </c>
      <c r="D908" s="8" t="str">
        <f>IFERROR(__xludf.DUMMYFUNCTION("""COMPUTED_VALUE"""),"2024/2025")</f>
        <v>2024/2025</v>
      </c>
      <c r="E908" s="9">
        <f>IFERROR(__xludf.DUMMYFUNCTION("""COMPUTED_VALUE"""),45687.0)</f>
        <v>45687</v>
      </c>
      <c r="F908" s="5" t="str">
        <f>IFERROR(__xludf.DUMMYFUNCTION("""COMPUTED_VALUE"""),"Ganjil")</f>
        <v>Ganjil</v>
      </c>
      <c r="G908" s="5" t="str">
        <f>IFERROR(__xludf.DUMMYFUNCTION("""COMPUTED_VALUE"""),"Manajemen")</f>
        <v>Manajemen</v>
      </c>
      <c r="H908" s="10" t="str">
        <f>IFERROR(__xludf.DUMMYFUNCTION("""COMPUTED_VALUE"""),"Mahasiswa")</f>
        <v>Mahasiswa</v>
      </c>
      <c r="I908" s="6" t="str">
        <f>IFERROR(__xludf.DUMMYFUNCTION("""COMPUTED_VALUE"""),"Rahmad Nur Isnain")</f>
        <v>Rahmad Nur Isnain</v>
      </c>
      <c r="J908" s="6" t="str">
        <f>IFERROR(__xludf.DUMMYFUNCTION("""COMPUTED_VALUE"""),"Muhammad Syihabuddin")</f>
        <v>Muhammad Syihabuddin</v>
      </c>
      <c r="K908" s="6"/>
      <c r="L908" s="6"/>
      <c r="M908" s="6"/>
      <c r="N908" s="6"/>
      <c r="O908" s="6"/>
      <c r="P908" s="10" t="str">
        <f>IFERROR(__xludf.DUMMYFUNCTION("""COMPUTED_VALUE"""),"Rahmad Nur Isnain, Muhammad Syihabuddin")</f>
        <v>Rahmad Nur Isnain, Muhammad Syihabuddin</v>
      </c>
      <c r="Q908" s="11" t="str">
        <f>IFERROR(__xludf.DUMMYFUNCTION("""COMPUTED_VALUE"""),"https://repository.stiesurakarta.ac.id/submission/f7621dda-0908-4d12-ab07-6715254e6dae")</f>
        <v>https://repository.stiesurakarta.ac.id/submission/f7621dda-0908-4d12-ab07-6715254e6dae</v>
      </c>
      <c r="R908" s="6"/>
    </row>
    <row r="909">
      <c r="A909" s="5">
        <f>IFERROR(__xludf.DUMMYFUNCTION("""COMPUTED_VALUE"""),908.0)</f>
        <v>908</v>
      </c>
      <c r="B909" s="6" t="str">
        <f>IFERROR(__xludf.DUMMYFUNCTION("""COMPUTED_VALUE"""),"Pengaruh Kualitas Produk, Persepsi Harga, dan Citra Merek terhadap Keputusan Pembelian Sepeda Motor Honda Beat (Studi Kasus pada Pengguna Sepeda Motor Honda Beat di Sukoharjo)")</f>
        <v>Pengaruh Kualitas Produk, Persepsi Harga, dan Citra Merek terhadap Keputusan Pembelian Sepeda Motor Honda Beat (Studi Kasus pada Pengguna Sepeda Motor Honda Beat di Sukoharjo)</v>
      </c>
      <c r="C909" s="7">
        <f>IFERROR(__xludf.DUMMYFUNCTION("""COMPUTED_VALUE"""),2025.0)</f>
        <v>2025</v>
      </c>
      <c r="D909" s="8" t="str">
        <f>IFERROR(__xludf.DUMMYFUNCTION("""COMPUTED_VALUE"""),"2024/2025")</f>
        <v>2024/2025</v>
      </c>
      <c r="E909" s="9">
        <f>IFERROR(__xludf.DUMMYFUNCTION("""COMPUTED_VALUE"""),45687.0)</f>
        <v>45687</v>
      </c>
      <c r="F909" s="5" t="str">
        <f>IFERROR(__xludf.DUMMYFUNCTION("""COMPUTED_VALUE"""),"Ganjil")</f>
        <v>Ganjil</v>
      </c>
      <c r="G909" s="5" t="str">
        <f>IFERROR(__xludf.DUMMYFUNCTION("""COMPUTED_VALUE"""),"Manajemen")</f>
        <v>Manajemen</v>
      </c>
      <c r="H909" s="10" t="str">
        <f>IFERROR(__xludf.DUMMYFUNCTION("""COMPUTED_VALUE"""),"Mahasiswa")</f>
        <v>Mahasiswa</v>
      </c>
      <c r="I909" s="6" t="str">
        <f>IFERROR(__xludf.DUMMYFUNCTION("""COMPUTED_VALUE"""),"Bintari Widyaningrum")</f>
        <v>Bintari Widyaningrum</v>
      </c>
      <c r="J909" s="6" t="str">
        <f>IFERROR(__xludf.DUMMYFUNCTION("""COMPUTED_VALUE"""),"Muhammad Syihabuddin")</f>
        <v>Muhammad Syihabuddin</v>
      </c>
      <c r="K909" s="6"/>
      <c r="L909" s="6"/>
      <c r="M909" s="6"/>
      <c r="N909" s="6"/>
      <c r="O909" s="6"/>
      <c r="P909" s="10" t="str">
        <f>IFERROR(__xludf.DUMMYFUNCTION("""COMPUTED_VALUE"""),"Bintari Widyaningrum, Muhammad Syihabuddin")</f>
        <v>Bintari Widyaningrum, Muhammad Syihabuddin</v>
      </c>
      <c r="Q909" s="11" t="str">
        <f>IFERROR(__xludf.DUMMYFUNCTION("""COMPUTED_VALUE"""),"https://repository.stiesurakarta.ac.id/submission/29e2f353-c342-44a8-9b7d-5e9871d8168c")</f>
        <v>https://repository.stiesurakarta.ac.id/submission/29e2f353-c342-44a8-9b7d-5e9871d8168c</v>
      </c>
      <c r="R909" s="6"/>
    </row>
    <row r="910">
      <c r="A910" s="5">
        <f>IFERROR(__xludf.DUMMYFUNCTION("""COMPUTED_VALUE"""),909.0)</f>
        <v>909</v>
      </c>
      <c r="B910" s="6" t="str">
        <f>IFERROR(__xludf.DUMMYFUNCTION("""COMPUTED_VALUE"""),"PENGARUH VIRAL MARKETING, KEPERCAYAAN, FASHION LIFESTYLE, TERHADAP MINAT BELI PRODUK THRIFTING DI TOKO LBM.STYLE")</f>
        <v>PENGARUH VIRAL MARKETING, KEPERCAYAAN, FASHION LIFESTYLE, TERHADAP MINAT BELI PRODUK THRIFTING DI TOKO LBM.STYLE</v>
      </c>
      <c r="C910" s="7">
        <f>IFERROR(__xludf.DUMMYFUNCTION("""COMPUTED_VALUE"""),2025.0)</f>
        <v>2025</v>
      </c>
      <c r="D910" s="8" t="str">
        <f>IFERROR(__xludf.DUMMYFUNCTION("""COMPUTED_VALUE"""),"2024/2025")</f>
        <v>2024/2025</v>
      </c>
      <c r="E910" s="9">
        <f>IFERROR(__xludf.DUMMYFUNCTION("""COMPUTED_VALUE"""),45687.0)</f>
        <v>45687</v>
      </c>
      <c r="F910" s="5" t="str">
        <f>IFERROR(__xludf.DUMMYFUNCTION("""COMPUTED_VALUE"""),"Ganjil")</f>
        <v>Ganjil</v>
      </c>
      <c r="G910" s="5" t="str">
        <f>IFERROR(__xludf.DUMMYFUNCTION("""COMPUTED_VALUE"""),"Manajemen")</f>
        <v>Manajemen</v>
      </c>
      <c r="H910" s="10" t="str">
        <f>IFERROR(__xludf.DUMMYFUNCTION("""COMPUTED_VALUE"""),"Mahasiswa")</f>
        <v>Mahasiswa</v>
      </c>
      <c r="I910" s="6" t="str">
        <f>IFERROR(__xludf.DUMMYFUNCTION("""COMPUTED_VALUE"""),"Alya Hanifah")</f>
        <v>Alya Hanifah</v>
      </c>
      <c r="J910" s="6" t="str">
        <f>IFERROR(__xludf.DUMMYFUNCTION("""COMPUTED_VALUE"""),"Muhammad Syihabuddin")</f>
        <v>Muhammad Syihabuddin</v>
      </c>
      <c r="K910" s="6"/>
      <c r="L910" s="6"/>
      <c r="M910" s="6"/>
      <c r="N910" s="6"/>
      <c r="O910" s="6"/>
      <c r="P910" s="10" t="str">
        <f>IFERROR(__xludf.DUMMYFUNCTION("""COMPUTED_VALUE"""),"Alya Hanifah, Muhammad Syihabuddin")</f>
        <v>Alya Hanifah, Muhammad Syihabuddin</v>
      </c>
      <c r="Q910" s="11" t="str">
        <f>IFERROR(__xludf.DUMMYFUNCTION("""COMPUTED_VALUE"""),"https://repository.stiesurakarta.ac.id/submission/8a48dd88-9f28-4d31-8258-75f2630dfe6e")</f>
        <v>https://repository.stiesurakarta.ac.id/submission/8a48dd88-9f28-4d31-8258-75f2630dfe6e</v>
      </c>
      <c r="R910" s="6"/>
    </row>
    <row r="911">
      <c r="A911" s="5">
        <f>IFERROR(__xludf.DUMMYFUNCTION("""COMPUTED_VALUE"""),910.0)</f>
        <v>910</v>
      </c>
      <c r="B911" s="6" t="str">
        <f>IFERROR(__xludf.DUMMYFUNCTION("""COMPUTED_VALUE"""),"Determinan Perilaku Konsumtif Berbelanja Online di Kabupaten Boyolali")</f>
        <v>Determinan Perilaku Konsumtif Berbelanja Online di Kabupaten Boyolali</v>
      </c>
      <c r="C911" s="7">
        <f>IFERROR(__xludf.DUMMYFUNCTION("""COMPUTED_VALUE"""),2025.0)</f>
        <v>2025</v>
      </c>
      <c r="D911" s="8" t="str">
        <f>IFERROR(__xludf.DUMMYFUNCTION("""COMPUTED_VALUE"""),"2024/2025")</f>
        <v>2024/2025</v>
      </c>
      <c r="E911" s="9">
        <f>IFERROR(__xludf.DUMMYFUNCTION("""COMPUTED_VALUE"""),45687.0)</f>
        <v>45687</v>
      </c>
      <c r="F911" s="5" t="str">
        <f>IFERROR(__xludf.DUMMYFUNCTION("""COMPUTED_VALUE"""),"Ganjil")</f>
        <v>Ganjil</v>
      </c>
      <c r="G911" s="5" t="str">
        <f>IFERROR(__xludf.DUMMYFUNCTION("""COMPUTED_VALUE"""),"Akuntansi")</f>
        <v>Akuntansi</v>
      </c>
      <c r="H911" s="10" t="str">
        <f>IFERROR(__xludf.DUMMYFUNCTION("""COMPUTED_VALUE"""),"Mahasiswa")</f>
        <v>Mahasiswa</v>
      </c>
      <c r="I911" s="6" t="str">
        <f>IFERROR(__xludf.DUMMYFUNCTION("""COMPUTED_VALUE"""),"Presinta Dwi Pratiwi")</f>
        <v>Presinta Dwi Pratiwi</v>
      </c>
      <c r="J911" s="6" t="str">
        <f>IFERROR(__xludf.DUMMYFUNCTION("""COMPUTED_VALUE"""),"Era Trianita Saputra")</f>
        <v>Era Trianita Saputra</v>
      </c>
      <c r="K911" s="6"/>
      <c r="L911" s="6"/>
      <c r="M911" s="6"/>
      <c r="N911" s="6"/>
      <c r="O911" s="6"/>
      <c r="P911" s="10" t="str">
        <f>IFERROR(__xludf.DUMMYFUNCTION("""COMPUTED_VALUE"""),"Presinta Dwi Pratiwi, Era Trianita Saputra")</f>
        <v>Presinta Dwi Pratiwi, Era Trianita Saputra</v>
      </c>
      <c r="Q911" s="11" t="str">
        <f>IFERROR(__xludf.DUMMYFUNCTION("""COMPUTED_VALUE"""),"https://repository.stiesurakarta.ac.id/submission/85d7dcba-d42d-4fc2-94f3-38c5c24fd70f")</f>
        <v>https://repository.stiesurakarta.ac.id/submission/85d7dcba-d42d-4fc2-94f3-38c5c24fd70f</v>
      </c>
      <c r="R911" s="6"/>
    </row>
    <row r="912">
      <c r="A912" s="5">
        <f>IFERROR(__xludf.DUMMYFUNCTION("""COMPUTED_VALUE"""),911.0)</f>
        <v>911</v>
      </c>
      <c r="B912" s="6" t="str">
        <f>IFERROR(__xludf.DUMMYFUNCTION("""COMPUTED_VALUE"""),"ANALISIS FAKTOR YANG MEMPENGARUHI MINAT PENGGUNAAN QRIS SEBAGAI TEKNOLOGI PEMBAYARAN DIGITAL PADA GEN Z DI KABUPATEN BOYOLALI")</f>
        <v>ANALISIS FAKTOR YANG MEMPENGARUHI MINAT PENGGUNAAN QRIS SEBAGAI TEKNOLOGI PEMBAYARAN DIGITAL PADA GEN Z DI KABUPATEN BOYOLALI</v>
      </c>
      <c r="C912" s="7">
        <f>IFERROR(__xludf.DUMMYFUNCTION("""COMPUTED_VALUE"""),2025.0)</f>
        <v>2025</v>
      </c>
      <c r="D912" s="8" t="str">
        <f>IFERROR(__xludf.DUMMYFUNCTION("""COMPUTED_VALUE"""),"2024/2025")</f>
        <v>2024/2025</v>
      </c>
      <c r="E912" s="9">
        <f>IFERROR(__xludf.DUMMYFUNCTION("""COMPUTED_VALUE"""),45687.0)</f>
        <v>45687</v>
      </c>
      <c r="F912" s="5" t="str">
        <f>IFERROR(__xludf.DUMMYFUNCTION("""COMPUTED_VALUE"""),"Ganjil")</f>
        <v>Ganjil</v>
      </c>
      <c r="G912" s="5" t="str">
        <f>IFERROR(__xludf.DUMMYFUNCTION("""COMPUTED_VALUE"""),"Akuntansi")</f>
        <v>Akuntansi</v>
      </c>
      <c r="H912" s="10" t="str">
        <f>IFERROR(__xludf.DUMMYFUNCTION("""COMPUTED_VALUE"""),"Mahasiswa")</f>
        <v>Mahasiswa</v>
      </c>
      <c r="I912" s="6" t="str">
        <f>IFERROR(__xludf.DUMMYFUNCTION("""COMPUTED_VALUE"""),"Diana Ayu Kurnia Sari")</f>
        <v>Diana Ayu Kurnia Sari</v>
      </c>
      <c r="J912" s="6" t="str">
        <f>IFERROR(__xludf.DUMMYFUNCTION("""COMPUTED_VALUE"""),"Era Trianita Saputra")</f>
        <v>Era Trianita Saputra</v>
      </c>
      <c r="K912" s="6"/>
      <c r="L912" s="6"/>
      <c r="M912" s="6"/>
      <c r="N912" s="6"/>
      <c r="O912" s="6"/>
      <c r="P912" s="10" t="str">
        <f>IFERROR(__xludf.DUMMYFUNCTION("""COMPUTED_VALUE"""),"Diana Ayu Kurnia Sari, Era Trianita Saputra")</f>
        <v>Diana Ayu Kurnia Sari, Era Trianita Saputra</v>
      </c>
      <c r="Q912" s="11" t="str">
        <f>IFERROR(__xludf.DUMMYFUNCTION("""COMPUTED_VALUE"""),"https://repository.stiesurakarta.ac.id/submission/0b9a37fc-d274-4daf-af46-fa47615d3fe5")</f>
        <v>https://repository.stiesurakarta.ac.id/submission/0b9a37fc-d274-4daf-af46-fa47615d3fe5</v>
      </c>
      <c r="R912" s="6"/>
    </row>
    <row r="913">
      <c r="A913" s="5">
        <f>IFERROR(__xludf.DUMMYFUNCTION("""COMPUTED_VALUE"""),912.0)</f>
        <v>912</v>
      </c>
      <c r="B913" s="6" t="str">
        <f>IFERROR(__xludf.DUMMYFUNCTION("""COMPUTED_VALUE"""),"Pendampingan Pembukuan Sederhana Bagi UMKM Cazzen Gitar Di Ngrombo Kecamatan Baki, Kabupaten Sukoharjo Jawa Tengah")</f>
        <v>Pendampingan Pembukuan Sederhana Bagi UMKM Cazzen Gitar Di Ngrombo Kecamatan Baki, Kabupaten Sukoharjo Jawa Tengah</v>
      </c>
      <c r="C913" s="7">
        <f>IFERROR(__xludf.DUMMYFUNCTION("""COMPUTED_VALUE"""),2025.0)</f>
        <v>2025</v>
      </c>
      <c r="D913" s="8" t="str">
        <f>IFERROR(__xludf.DUMMYFUNCTION("""COMPUTED_VALUE"""),"2024/2025")</f>
        <v>2024/2025</v>
      </c>
      <c r="E913" s="9">
        <f>IFERROR(__xludf.DUMMYFUNCTION("""COMPUTED_VALUE"""),45687.0)</f>
        <v>45687</v>
      </c>
      <c r="F913" s="5" t="str">
        <f>IFERROR(__xludf.DUMMYFUNCTION("""COMPUTED_VALUE"""),"Ganjil")</f>
        <v>Ganjil</v>
      </c>
      <c r="G913" s="5" t="str">
        <f>IFERROR(__xludf.DUMMYFUNCTION("""COMPUTED_VALUE"""),"Manajemen")</f>
        <v>Manajemen</v>
      </c>
      <c r="H913" s="10" t="str">
        <f>IFERROR(__xludf.DUMMYFUNCTION("""COMPUTED_VALUE"""),"Dosen")</f>
        <v>Dosen</v>
      </c>
      <c r="I913" s="6" t="str">
        <f>IFERROR(__xludf.DUMMYFUNCTION("""COMPUTED_VALUE"""),"Ari Susanti")</f>
        <v>Ari Susanti</v>
      </c>
      <c r="J913" s="6" t="str">
        <f>IFERROR(__xludf.DUMMYFUNCTION("""COMPUTED_VALUE"""),"Era Trianita Saputra")</f>
        <v>Era Trianita Saputra</v>
      </c>
      <c r="K913" s="6" t="str">
        <f>IFERROR(__xludf.DUMMYFUNCTION("""COMPUTED_VALUE"""),"Dewi Ika Octavia")</f>
        <v>Dewi Ika Octavia</v>
      </c>
      <c r="L913" s="6" t="str">
        <f>IFERROR(__xludf.DUMMYFUNCTION("""COMPUTED_VALUE"""),"Zahra Mala Ainurroat")</f>
        <v>Zahra Mala Ainurroat</v>
      </c>
      <c r="M913" s="6" t="str">
        <f>IFERROR(__xludf.DUMMYFUNCTION("""COMPUTED_VALUE"""),"Septia Putri Utami")</f>
        <v>Septia Putri Utami</v>
      </c>
      <c r="N913" s="6" t="str">
        <f>IFERROR(__xludf.DUMMYFUNCTION("""COMPUTED_VALUE"""),"Danang Dwi Saputro")</f>
        <v>Danang Dwi Saputro</v>
      </c>
      <c r="O913" s="6"/>
      <c r="P913" s="10"/>
      <c r="Q913" s="11" t="str">
        <f>IFERROR(__xludf.DUMMYFUNCTION("""COMPUTED_VALUE"""),"https://ejournal.utp.ac.id/index.php/ganesha/article/view/4303")</f>
        <v>https://ejournal.utp.ac.id/index.php/ganesha/article/view/4303</v>
      </c>
      <c r="R913" s="6"/>
    </row>
    <row r="914">
      <c r="A914" s="5">
        <f>IFERROR(__xludf.DUMMYFUNCTION("""COMPUTED_VALUE"""),913.0)</f>
        <v>913</v>
      </c>
      <c r="B914" s="6" t="str">
        <f>IFERROR(__xludf.DUMMYFUNCTION("""COMPUTED_VALUE"""),"Pengaruh Kualitas Pelayanan, Kepuasan Pelanggan, dan Reputasi Penjual Terhadap Niat Pembelian Ulang pada Generasi Z diMarketplace Shopee Mall")</f>
        <v>Pengaruh Kualitas Pelayanan, Kepuasan Pelanggan, dan Reputasi Penjual Terhadap Niat Pembelian Ulang pada Generasi Z diMarketplace Shopee Mall</v>
      </c>
      <c r="C914" s="7">
        <f>IFERROR(__xludf.DUMMYFUNCTION("""COMPUTED_VALUE"""),2025.0)</f>
        <v>2025</v>
      </c>
      <c r="D914" s="8" t="str">
        <f>IFERROR(__xludf.DUMMYFUNCTION("""COMPUTED_VALUE"""),"2024/2025")</f>
        <v>2024/2025</v>
      </c>
      <c r="E914" s="9">
        <f>IFERROR(__xludf.DUMMYFUNCTION("""COMPUTED_VALUE"""),45688.0)</f>
        <v>45688</v>
      </c>
      <c r="F914" s="5" t="str">
        <f>IFERROR(__xludf.DUMMYFUNCTION("""COMPUTED_VALUE"""),"Ganjil")</f>
        <v>Ganjil</v>
      </c>
      <c r="G914" s="5" t="str">
        <f>IFERROR(__xludf.DUMMYFUNCTION("""COMPUTED_VALUE"""),"Manajemen")</f>
        <v>Manajemen</v>
      </c>
      <c r="H914" s="10" t="str">
        <f>IFERROR(__xludf.DUMMYFUNCTION("""COMPUTED_VALUE"""),"Mahasiswa")</f>
        <v>Mahasiswa</v>
      </c>
      <c r="I914" s="6" t="str">
        <f>IFERROR(__xludf.DUMMYFUNCTION("""COMPUTED_VALUE"""),"Fajar Yuliana")</f>
        <v>Fajar Yuliana</v>
      </c>
      <c r="J914" s="6" t="str">
        <f>IFERROR(__xludf.DUMMYFUNCTION("""COMPUTED_VALUE"""),"Ari Susanti")</f>
        <v>Ari Susanti</v>
      </c>
      <c r="K914" s="6"/>
      <c r="L914" s="6"/>
      <c r="M914" s="6"/>
      <c r="N914" s="6"/>
      <c r="O914" s="6"/>
      <c r="P914" s="10" t="str">
        <f>IFERROR(__xludf.DUMMYFUNCTION("""COMPUTED_VALUE"""),"Fajar Yuliana, Ari Susanti")</f>
        <v>Fajar Yuliana, Ari Susanti</v>
      </c>
      <c r="Q914" s="11" t="str">
        <f>IFERROR(__xludf.DUMMYFUNCTION("""COMPUTED_VALUE"""),"https://repository.stiesurakarta.ac.id/submission/583374ae-b02f-4cf2-8534-d4c8b39bfb09")</f>
        <v>https://repository.stiesurakarta.ac.id/submission/583374ae-b02f-4cf2-8534-d4c8b39bfb09</v>
      </c>
      <c r="R914" s="6"/>
    </row>
    <row r="915">
      <c r="A915" s="5">
        <f>IFERROR(__xludf.DUMMYFUNCTION("""COMPUTED_VALUE"""),914.0)</f>
        <v>914</v>
      </c>
      <c r="B915" s="6" t="str">
        <f>IFERROR(__xludf.DUMMYFUNCTION("""COMPUTED_VALUE"""),"Pengaruh Literasi Keuangan, Modal, dan Sumber Daya Manusia Terhadap Kinerja Keuangan UMKM Sektor Industri Pengolahan Makanan Di Kecamatan Sragen")</f>
        <v>Pengaruh Literasi Keuangan, Modal, dan Sumber Daya Manusia Terhadap Kinerja Keuangan UMKM Sektor Industri Pengolahan Makanan Di Kecamatan Sragen</v>
      </c>
      <c r="C915" s="7">
        <f>IFERROR(__xludf.DUMMYFUNCTION("""COMPUTED_VALUE"""),2025.0)</f>
        <v>2025</v>
      </c>
      <c r="D915" s="8" t="str">
        <f>IFERROR(__xludf.DUMMYFUNCTION("""COMPUTED_VALUE"""),"2024/2025")</f>
        <v>2024/2025</v>
      </c>
      <c r="E915" s="9">
        <f>IFERROR(__xludf.DUMMYFUNCTION("""COMPUTED_VALUE"""),45688.0)</f>
        <v>45688</v>
      </c>
      <c r="F915" s="5" t="str">
        <f>IFERROR(__xludf.DUMMYFUNCTION("""COMPUTED_VALUE"""),"Ganjil")</f>
        <v>Ganjil</v>
      </c>
      <c r="G915" s="5" t="str">
        <f>IFERROR(__xludf.DUMMYFUNCTION("""COMPUTED_VALUE"""),"Akuntansi")</f>
        <v>Akuntansi</v>
      </c>
      <c r="H915" s="10" t="str">
        <f>IFERROR(__xludf.DUMMYFUNCTION("""COMPUTED_VALUE"""),"Mahasiswa")</f>
        <v>Mahasiswa</v>
      </c>
      <c r="I915" s="6" t="str">
        <f>IFERROR(__xludf.DUMMYFUNCTION("""COMPUTED_VALUE"""),"Lulut Regina Prayoga")</f>
        <v>Lulut Regina Prayoga</v>
      </c>
      <c r="J915" s="6" t="str">
        <f>IFERROR(__xludf.DUMMYFUNCTION("""COMPUTED_VALUE"""),"Era Trianita Saputra")</f>
        <v>Era Trianita Saputra</v>
      </c>
      <c r="K915" s="6"/>
      <c r="L915" s="6"/>
      <c r="M915" s="6"/>
      <c r="N915" s="6"/>
      <c r="O915" s="6"/>
      <c r="P915" s="10" t="str">
        <f>IFERROR(__xludf.DUMMYFUNCTION("""COMPUTED_VALUE"""),"Lulut Regina Prayoga, Era Trianita Saputra")</f>
        <v>Lulut Regina Prayoga, Era Trianita Saputra</v>
      </c>
      <c r="Q915" s="11" t="str">
        <f>IFERROR(__xludf.DUMMYFUNCTION("""COMPUTED_VALUE"""),"https://repository.stiesurakarta.ac.id/submission/317c00a8-6e14-448b-97fb-866182b67c40")</f>
        <v>https://repository.stiesurakarta.ac.id/submission/317c00a8-6e14-448b-97fb-866182b67c40</v>
      </c>
      <c r="R915" s="6"/>
    </row>
    <row r="916">
      <c r="A916" s="5">
        <f>IFERROR(__xludf.DUMMYFUNCTION("""COMPUTED_VALUE"""),915.0)</f>
        <v>915</v>
      </c>
      <c r="B916" s="6" t="str">
        <f>IFERROR(__xludf.DUMMYFUNCTION("""COMPUTED_VALUE"""),"Pendampingan Manajemen Persediaan pada Produsen Gitar Cazzen di Baki Sukoharjo")</f>
        <v>Pendampingan Manajemen Persediaan pada Produsen Gitar Cazzen di Baki Sukoharjo</v>
      </c>
      <c r="C916" s="7">
        <f>IFERROR(__xludf.DUMMYFUNCTION("""COMPUTED_VALUE"""),2025.0)</f>
        <v>2025</v>
      </c>
      <c r="D916" s="8" t="str">
        <f>IFERROR(__xludf.DUMMYFUNCTION("""COMPUTED_VALUE"""),"2024/2025")</f>
        <v>2024/2025</v>
      </c>
      <c r="E916" s="9">
        <f>IFERROR(__xludf.DUMMYFUNCTION("""COMPUTED_VALUE"""),45688.0)</f>
        <v>45688</v>
      </c>
      <c r="F916" s="5" t="str">
        <f>IFERROR(__xludf.DUMMYFUNCTION("""COMPUTED_VALUE"""),"Ganjil")</f>
        <v>Ganjil</v>
      </c>
      <c r="G916" s="5" t="str">
        <f>IFERROR(__xludf.DUMMYFUNCTION("""COMPUTED_VALUE"""),"Akuntansi")</f>
        <v>Akuntansi</v>
      </c>
      <c r="H916" s="10" t="str">
        <f>IFERROR(__xludf.DUMMYFUNCTION("""COMPUTED_VALUE"""),"Dosen")</f>
        <v>Dosen</v>
      </c>
      <c r="I916" s="6" t="str">
        <f>IFERROR(__xludf.DUMMYFUNCTION("""COMPUTED_VALUE"""),"Era Trianita Saputra")</f>
        <v>Era Trianita Saputra</v>
      </c>
      <c r="J916" s="6" t="str">
        <f>IFERROR(__xludf.DUMMYFUNCTION("""COMPUTED_VALUE"""),"Ari Susanti")</f>
        <v>Ari Susanti</v>
      </c>
      <c r="K916" s="6" t="str">
        <f>IFERROR(__xludf.DUMMYFUNCTION("""COMPUTED_VALUE"""),"Dewi Ika Octavia")</f>
        <v>Dewi Ika Octavia</v>
      </c>
      <c r="L916" s="6"/>
      <c r="M916" s="6"/>
      <c r="N916" s="6"/>
      <c r="O916" s="6"/>
      <c r="P916" s="10"/>
      <c r="Q916" s="11" t="str">
        <f>IFERROR(__xludf.DUMMYFUNCTION("""COMPUTED_VALUE"""),"https://abdimasku.lppm.dinus.ac.id/index.php/jurnalabdimasku/article/view/2744")</f>
        <v>https://abdimasku.lppm.dinus.ac.id/index.php/jurnalabdimasku/article/view/2744</v>
      </c>
      <c r="R916" s="6"/>
    </row>
    <row r="917">
      <c r="A917" s="5">
        <f>IFERROR(__xludf.DUMMYFUNCTION("""COMPUTED_VALUE"""),916.0)</f>
        <v>916</v>
      </c>
      <c r="B917" s="6" t="str">
        <f>IFERROR(__xludf.DUMMYFUNCTION("""COMPUTED_VALUE"""),"PENGARUH PENGGUNAAN QRIS &amp; PROMOSI TERHADAP KEPUTUSAN PEMBELIAN KONSUMEN DI LOKANANTA BLOC")</f>
        <v>PENGARUH PENGGUNAAN QRIS &amp; PROMOSI TERHADAP KEPUTUSAN PEMBELIAN KONSUMEN DI LOKANANTA BLOC</v>
      </c>
      <c r="C917" s="7">
        <f>IFERROR(__xludf.DUMMYFUNCTION("""COMPUTED_VALUE"""),2025.0)</f>
        <v>2025</v>
      </c>
      <c r="D917" s="8" t="str">
        <f>IFERROR(__xludf.DUMMYFUNCTION("""COMPUTED_VALUE"""),"2024/2025")</f>
        <v>2024/2025</v>
      </c>
      <c r="E917" s="9">
        <f>IFERROR(__xludf.DUMMYFUNCTION("""COMPUTED_VALUE"""),45689.0)</f>
        <v>45689</v>
      </c>
      <c r="F917" s="5" t="str">
        <f>IFERROR(__xludf.DUMMYFUNCTION("""COMPUTED_VALUE"""),"Ganjil")</f>
        <v>Ganjil</v>
      </c>
      <c r="G917" s="5" t="str">
        <f>IFERROR(__xludf.DUMMYFUNCTION("""COMPUTED_VALUE"""),"Akuntansi")</f>
        <v>Akuntansi</v>
      </c>
      <c r="H917" s="10" t="str">
        <f>IFERROR(__xludf.DUMMYFUNCTION("""COMPUTED_VALUE"""),"Mahasiswa")</f>
        <v>Mahasiswa</v>
      </c>
      <c r="I917" s="6" t="str">
        <f>IFERROR(__xludf.DUMMYFUNCTION("""COMPUTED_VALUE"""),"Feri Wibowo")</f>
        <v>Feri Wibowo</v>
      </c>
      <c r="J917" s="6" t="str">
        <f>IFERROR(__xludf.DUMMYFUNCTION("""COMPUTED_VALUE"""),"Dewi Ika Octavia")</f>
        <v>Dewi Ika Octavia</v>
      </c>
      <c r="K917" s="6"/>
      <c r="L917" s="6"/>
      <c r="M917" s="6"/>
      <c r="N917" s="6"/>
      <c r="O917" s="6"/>
      <c r="P917" s="10" t="str">
        <f>IFERROR(__xludf.DUMMYFUNCTION("""COMPUTED_VALUE"""),"Feri Wibowo, Dewi Ika Octavia")</f>
        <v>Feri Wibowo, Dewi Ika Octavia</v>
      </c>
      <c r="Q917" s="11" t="str">
        <f>IFERROR(__xludf.DUMMYFUNCTION("""COMPUTED_VALUE"""),"https://www.jurnalintelektiva.com/index.php/jurnal/article/view/1147")</f>
        <v>https://www.jurnalintelektiva.com/index.php/jurnal/article/view/1147</v>
      </c>
      <c r="R917" s="6"/>
    </row>
    <row r="918">
      <c r="A918" s="5">
        <f>IFERROR(__xludf.DUMMYFUNCTION("""COMPUTED_VALUE"""),917.0)</f>
        <v>917</v>
      </c>
      <c r="B918" s="6" t="str">
        <f>IFERROR(__xludf.DUMMYFUNCTION("""COMPUTED_VALUE"""),"PERILAKU IMPULSIVE BUYING PADA LIVE STREAMING COMMERCE")</f>
        <v>PERILAKU IMPULSIVE BUYING PADA LIVE STREAMING COMMERCE</v>
      </c>
      <c r="C918" s="7">
        <f>IFERROR(__xludf.DUMMYFUNCTION("""COMPUTED_VALUE"""),2025.0)</f>
        <v>2025</v>
      </c>
      <c r="D918" s="8" t="str">
        <f>IFERROR(__xludf.DUMMYFUNCTION("""COMPUTED_VALUE"""),"2024/2025")</f>
        <v>2024/2025</v>
      </c>
      <c r="E918" s="9">
        <f>IFERROR(__xludf.DUMMYFUNCTION("""COMPUTED_VALUE"""),45689.0)</f>
        <v>45689</v>
      </c>
      <c r="F918" s="5" t="str">
        <f>IFERROR(__xludf.DUMMYFUNCTION("""COMPUTED_VALUE"""),"Ganjil")</f>
        <v>Ganjil</v>
      </c>
      <c r="G918" s="5" t="str">
        <f>IFERROR(__xludf.DUMMYFUNCTION("""COMPUTED_VALUE"""),"Manajemen")</f>
        <v>Manajemen</v>
      </c>
      <c r="H918" s="10" t="str">
        <f>IFERROR(__xludf.DUMMYFUNCTION("""COMPUTED_VALUE"""),"Dosen")</f>
        <v>Dosen</v>
      </c>
      <c r="I918" s="6" t="str">
        <f>IFERROR(__xludf.DUMMYFUNCTION("""COMPUTED_VALUE"""),"Atik Lusia")</f>
        <v>Atik Lusia</v>
      </c>
      <c r="J918" s="6" t="str">
        <f>IFERROR(__xludf.DUMMYFUNCTION("""COMPUTED_VALUE"""),"Ari Susanti")</f>
        <v>Ari Susanti</v>
      </c>
      <c r="K918" s="6" t="str">
        <f>IFERROR(__xludf.DUMMYFUNCTION("""COMPUTED_VALUE"""),"Rikah")</f>
        <v>Rikah</v>
      </c>
      <c r="L918" s="6" t="str">
        <f>IFERROR(__xludf.DUMMYFUNCTION("""COMPUTED_VALUE"""),") Arif Farida")</f>
        <v>) Arif Farida</v>
      </c>
      <c r="M918" s="6"/>
      <c r="N918" s="6"/>
      <c r="O918" s="6"/>
      <c r="P918" s="10"/>
      <c r="Q918" s="11" t="str">
        <f>IFERROR(__xludf.DUMMYFUNCTION("""COMPUTED_VALUE"""),"https://journal.uyr.ac.id/index.php/BBM/article/view/751")</f>
        <v>https://journal.uyr.ac.id/index.php/BBM/article/view/751</v>
      </c>
      <c r="R918" s="6"/>
    </row>
    <row r="919">
      <c r="A919" s="5">
        <f>IFERROR(__xludf.DUMMYFUNCTION("""COMPUTED_VALUE"""),918.0)</f>
        <v>918</v>
      </c>
      <c r="B919" s="6" t="str">
        <f>IFERROR(__xludf.DUMMYFUNCTION("""COMPUTED_VALUE"""),"PENGARUH KUALITAS JARINGAN, HARGA, DAN PROMOSI TERHADAP KEPUTUSAN PEMBELIAN KARTU INTERNET XL AXIATA")</f>
        <v>PENGARUH KUALITAS JARINGAN, HARGA, DAN PROMOSI TERHADAP KEPUTUSAN PEMBELIAN KARTU INTERNET XL AXIATA</v>
      </c>
      <c r="C919" s="7">
        <f>IFERROR(__xludf.DUMMYFUNCTION("""COMPUTED_VALUE"""),2025.0)</f>
        <v>2025</v>
      </c>
      <c r="D919" s="8" t="str">
        <f>IFERROR(__xludf.DUMMYFUNCTION("""COMPUTED_VALUE"""),"2024/2025")</f>
        <v>2024/2025</v>
      </c>
      <c r="E919" s="9">
        <f>IFERROR(__xludf.DUMMYFUNCTION("""COMPUTED_VALUE"""),45691.0)</f>
        <v>45691</v>
      </c>
      <c r="F919" s="5" t="str">
        <f>IFERROR(__xludf.DUMMYFUNCTION("""COMPUTED_VALUE"""),"Ganjil")</f>
        <v>Ganjil</v>
      </c>
      <c r="G919" s="5" t="str">
        <f>IFERROR(__xludf.DUMMYFUNCTION("""COMPUTED_VALUE"""),"Manajemen")</f>
        <v>Manajemen</v>
      </c>
      <c r="H919" s="10" t="str">
        <f>IFERROR(__xludf.DUMMYFUNCTION("""COMPUTED_VALUE"""),"Mahasiswa")</f>
        <v>Mahasiswa</v>
      </c>
      <c r="I919" s="6" t="str">
        <f>IFERROR(__xludf.DUMMYFUNCTION("""COMPUTED_VALUE"""),"Rakhel widya Astuti")</f>
        <v>Rakhel widya Astuti</v>
      </c>
      <c r="J919" s="6" t="str">
        <f>IFERROR(__xludf.DUMMYFUNCTION("""COMPUTED_VALUE"""),"Ari Susanti")</f>
        <v>Ari Susanti</v>
      </c>
      <c r="K919" s="6"/>
      <c r="L919" s="6"/>
      <c r="M919" s="6"/>
      <c r="N919" s="6"/>
      <c r="O919" s="6"/>
      <c r="P919" s="10" t="str">
        <f>IFERROR(__xludf.DUMMYFUNCTION("""COMPUTED_VALUE"""),"Rakhel widya Astuti, Ari Susanti")</f>
        <v>Rakhel widya Astuti, Ari Susanti</v>
      </c>
      <c r="Q919" s="11" t="str">
        <f>IFERROR(__xludf.DUMMYFUNCTION("""COMPUTED_VALUE"""),"https://repository.stiesurakarta.ac.id/submission/7d29822f-a583-4f39-8a90-1bfa56ed8b51")</f>
        <v>https://repository.stiesurakarta.ac.id/submission/7d29822f-a583-4f39-8a90-1bfa56ed8b51</v>
      </c>
      <c r="R919" s="6"/>
    </row>
    <row r="920">
      <c r="A920" s="5">
        <f>IFERROR(__xludf.DUMMYFUNCTION("""COMPUTED_VALUE"""),919.0)</f>
        <v>919</v>
      </c>
      <c r="B920" s="6" t="str">
        <f>IFERROR(__xludf.DUMMYFUNCTION("""COMPUTED_VALUE"""),"PENGARUH HARGA, PROMOSI, DAN WORD OF MOUTH TERHADAP KEPUASAN PELANGGAN KKV SOLO PARAGON MALL")</f>
        <v>PENGARUH HARGA, PROMOSI, DAN WORD OF MOUTH TERHADAP KEPUASAN PELANGGAN KKV SOLO PARAGON MALL</v>
      </c>
      <c r="C920" s="7">
        <f>IFERROR(__xludf.DUMMYFUNCTION("""COMPUTED_VALUE"""),2025.0)</f>
        <v>2025</v>
      </c>
      <c r="D920" s="8" t="str">
        <f>IFERROR(__xludf.DUMMYFUNCTION("""COMPUTED_VALUE"""),"2024/2025")</f>
        <v>2024/2025</v>
      </c>
      <c r="E920" s="9">
        <f>IFERROR(__xludf.DUMMYFUNCTION("""COMPUTED_VALUE"""),45691.0)</f>
        <v>45691</v>
      </c>
      <c r="F920" s="5" t="str">
        <f>IFERROR(__xludf.DUMMYFUNCTION("""COMPUTED_VALUE"""),"Ganjil")</f>
        <v>Ganjil</v>
      </c>
      <c r="G920" s="5" t="str">
        <f>IFERROR(__xludf.DUMMYFUNCTION("""COMPUTED_VALUE"""),"Manajemen")</f>
        <v>Manajemen</v>
      </c>
      <c r="H920" s="10" t="str">
        <f>IFERROR(__xludf.DUMMYFUNCTION("""COMPUTED_VALUE"""),"Mahasiswa")</f>
        <v>Mahasiswa</v>
      </c>
      <c r="I920" s="6" t="str">
        <f>IFERROR(__xludf.DUMMYFUNCTION("""COMPUTED_VALUE"""),"Meira Alvin Maulidina")</f>
        <v>Meira Alvin Maulidina</v>
      </c>
      <c r="J920" s="6" t="str">
        <f>IFERROR(__xludf.DUMMYFUNCTION("""COMPUTED_VALUE"""),"Ari Susanti")</f>
        <v>Ari Susanti</v>
      </c>
      <c r="K920" s="6"/>
      <c r="L920" s="6"/>
      <c r="M920" s="6"/>
      <c r="N920" s="6"/>
      <c r="O920" s="6"/>
      <c r="P920" s="10" t="str">
        <f>IFERROR(__xludf.DUMMYFUNCTION("""COMPUTED_VALUE"""),"Meira Alvin Maulidina, Ari Susanti")</f>
        <v>Meira Alvin Maulidina, Ari Susanti</v>
      </c>
      <c r="Q920" s="11" t="str">
        <f>IFERROR(__xludf.DUMMYFUNCTION("""COMPUTED_VALUE"""),"https://repository.stiesurakarta.ac.id/submission/d5d47f89-97ed-4f01-a3c4-9ea52d857fd3")</f>
        <v>https://repository.stiesurakarta.ac.id/submission/d5d47f89-97ed-4f01-a3c4-9ea52d857fd3</v>
      </c>
      <c r="R920" s="6"/>
    </row>
    <row r="921">
      <c r="A921" s="5">
        <f>IFERROR(__xludf.DUMMYFUNCTION("""COMPUTED_VALUE"""),920.0)</f>
        <v>920</v>
      </c>
      <c r="B921" s="6" t="str">
        <f>IFERROR(__xludf.DUMMYFUNCTION("""COMPUTED_VALUE"""),"ANALISIS PROSES PRODUKSI DAN PENGENDALIAN MUTU PADA PABRIK MIE SOUN CAP POHON AREN DI KLATEN")</f>
        <v>ANALISIS PROSES PRODUKSI DAN PENGENDALIAN MUTU PADA PABRIK MIE SOUN CAP POHON AREN DI KLATEN</v>
      </c>
      <c r="C921" s="7">
        <f>IFERROR(__xludf.DUMMYFUNCTION("""COMPUTED_VALUE"""),2025.0)</f>
        <v>2025</v>
      </c>
      <c r="D921" s="8" t="str">
        <f>IFERROR(__xludf.DUMMYFUNCTION("""COMPUTED_VALUE"""),"2024/2025")</f>
        <v>2024/2025</v>
      </c>
      <c r="E921" s="9">
        <f>IFERROR(__xludf.DUMMYFUNCTION("""COMPUTED_VALUE"""),45692.0)</f>
        <v>45692</v>
      </c>
      <c r="F921" s="5" t="str">
        <f>IFERROR(__xludf.DUMMYFUNCTION("""COMPUTED_VALUE"""),"Ganjil")</f>
        <v>Ganjil</v>
      </c>
      <c r="G921" s="5" t="str">
        <f>IFERROR(__xludf.DUMMYFUNCTION("""COMPUTED_VALUE"""),"Manajemen")</f>
        <v>Manajemen</v>
      </c>
      <c r="H921" s="10" t="str">
        <f>IFERROR(__xludf.DUMMYFUNCTION("""COMPUTED_VALUE"""),"Mahasiswa")</f>
        <v>Mahasiswa</v>
      </c>
      <c r="I921" s="6" t="str">
        <f>IFERROR(__xludf.DUMMYFUNCTION("""COMPUTED_VALUE"""),"Ervina Nilam Oktavia")</f>
        <v>Ervina Nilam Oktavia</v>
      </c>
      <c r="J921" s="6" t="str">
        <f>IFERROR(__xludf.DUMMYFUNCTION("""COMPUTED_VALUE"""),"Ari Susanti")</f>
        <v>Ari Susanti</v>
      </c>
      <c r="K921" s="6"/>
      <c r="L921" s="6"/>
      <c r="M921" s="6"/>
      <c r="N921" s="6"/>
      <c r="O921" s="6"/>
      <c r="P921" s="10" t="str">
        <f>IFERROR(__xludf.DUMMYFUNCTION("""COMPUTED_VALUE"""),"Ervina Nilam Oktavia, Ari Susanti")</f>
        <v>Ervina Nilam Oktavia, Ari Susanti</v>
      </c>
      <c r="Q921" s="11" t="str">
        <f>IFERROR(__xludf.DUMMYFUNCTION("""COMPUTED_VALUE"""),"https://repository.stiesurakarta.ac.id/submission/daf71179-e23d-4c5a-ad48-36f58ac07c03")</f>
        <v>https://repository.stiesurakarta.ac.id/submission/daf71179-e23d-4c5a-ad48-36f58ac07c03</v>
      </c>
      <c r="R921" s="6"/>
    </row>
    <row r="922">
      <c r="A922" s="5">
        <f>IFERROR(__xludf.DUMMYFUNCTION("""COMPUTED_VALUE"""),921.0)</f>
        <v>921</v>
      </c>
      <c r="B922" s="6" t="str">
        <f>IFERROR(__xludf.DUMMYFUNCTION("""COMPUTED_VALUE"""),"Pengaruh Promosi dan Kualitas Pelayanan Terhadap Keputusan Pembelian di Heika Kopi Sukoharjo")</f>
        <v>Pengaruh Promosi dan Kualitas Pelayanan Terhadap Keputusan Pembelian di Heika Kopi Sukoharjo</v>
      </c>
      <c r="C922" s="7">
        <f>IFERROR(__xludf.DUMMYFUNCTION("""COMPUTED_VALUE"""),2025.0)</f>
        <v>2025</v>
      </c>
      <c r="D922" s="8" t="str">
        <f>IFERROR(__xludf.DUMMYFUNCTION("""COMPUTED_VALUE"""),"2024/2025")</f>
        <v>2024/2025</v>
      </c>
      <c r="E922" s="9">
        <f>IFERROR(__xludf.DUMMYFUNCTION("""COMPUTED_VALUE"""),45692.0)</f>
        <v>45692</v>
      </c>
      <c r="F922" s="5" t="str">
        <f>IFERROR(__xludf.DUMMYFUNCTION("""COMPUTED_VALUE"""),"Ganjil")</f>
        <v>Ganjil</v>
      </c>
      <c r="G922" s="5" t="str">
        <f>IFERROR(__xludf.DUMMYFUNCTION("""COMPUTED_VALUE"""),"Manajemen")</f>
        <v>Manajemen</v>
      </c>
      <c r="H922" s="10" t="str">
        <f>IFERROR(__xludf.DUMMYFUNCTION("""COMPUTED_VALUE"""),"Mahasiswa")</f>
        <v>Mahasiswa</v>
      </c>
      <c r="I922" s="6" t="str">
        <f>IFERROR(__xludf.DUMMYFUNCTION("""COMPUTED_VALUE"""),"Muhammad Bima Pamungkas")</f>
        <v>Muhammad Bima Pamungkas</v>
      </c>
      <c r="J922" s="6" t="str">
        <f>IFERROR(__xludf.DUMMYFUNCTION("""COMPUTED_VALUE"""),"Muhammad Syihabuddin")</f>
        <v>Muhammad Syihabuddin</v>
      </c>
      <c r="K922" s="6"/>
      <c r="L922" s="6"/>
      <c r="M922" s="6"/>
      <c r="N922" s="6"/>
      <c r="O922" s="6"/>
      <c r="P922" s="10" t="str">
        <f>IFERROR(__xludf.DUMMYFUNCTION("""COMPUTED_VALUE"""),"Muhammad Bima Pamungkas, Muhammad Syihabuddin")</f>
        <v>Muhammad Bima Pamungkas, Muhammad Syihabuddin</v>
      </c>
      <c r="Q922" s="11" t="str">
        <f>IFERROR(__xludf.DUMMYFUNCTION("""COMPUTED_VALUE"""),"https://repository.stiesurakarta.ac.id/submission/0a292bb9-a851-4fd0-b00d-e6290dc52bbb")</f>
        <v>https://repository.stiesurakarta.ac.id/submission/0a292bb9-a851-4fd0-b00d-e6290dc52bbb</v>
      </c>
      <c r="R922" s="6"/>
    </row>
    <row r="923">
      <c r="A923" s="5">
        <f>IFERROR(__xludf.DUMMYFUNCTION("""COMPUTED_VALUE"""),922.0)</f>
        <v>922</v>
      </c>
      <c r="B923" s="6" t="str">
        <f>IFERROR(__xludf.DUMMYFUNCTION("""COMPUTED_VALUE"""),"Pengaruh Gaji, Lingkungan Kerja dan Kepemimpinan Terhadap Kinerja Karyawan Pada PT. Dermama Bioteknologi Laboratorium di Surakarta")</f>
        <v>Pengaruh Gaji, Lingkungan Kerja dan Kepemimpinan Terhadap Kinerja Karyawan Pada PT. Dermama Bioteknologi Laboratorium di Surakarta</v>
      </c>
      <c r="C923" s="7">
        <f>IFERROR(__xludf.DUMMYFUNCTION("""COMPUTED_VALUE"""),2025.0)</f>
        <v>2025</v>
      </c>
      <c r="D923" s="8" t="str">
        <f>IFERROR(__xludf.DUMMYFUNCTION("""COMPUTED_VALUE"""),"2024/2025")</f>
        <v>2024/2025</v>
      </c>
      <c r="E923" s="9">
        <f>IFERROR(__xludf.DUMMYFUNCTION("""COMPUTED_VALUE"""),45692.0)</f>
        <v>45692</v>
      </c>
      <c r="F923" s="5" t="str">
        <f>IFERROR(__xludf.DUMMYFUNCTION("""COMPUTED_VALUE"""),"Ganjil")</f>
        <v>Ganjil</v>
      </c>
      <c r="G923" s="5" t="str">
        <f>IFERROR(__xludf.DUMMYFUNCTION("""COMPUTED_VALUE"""),"Manajemen")</f>
        <v>Manajemen</v>
      </c>
      <c r="H923" s="10" t="str">
        <f>IFERROR(__xludf.DUMMYFUNCTION("""COMPUTED_VALUE"""),"Mahasiswa")</f>
        <v>Mahasiswa</v>
      </c>
      <c r="I923" s="6" t="str">
        <f>IFERROR(__xludf.DUMMYFUNCTION("""COMPUTED_VALUE"""),"Ririn Tri Widayani")</f>
        <v>Ririn Tri Widayani</v>
      </c>
      <c r="J923" s="6" t="str">
        <f>IFERROR(__xludf.DUMMYFUNCTION("""COMPUTED_VALUE"""),"Aditya Liliyan")</f>
        <v>Aditya Liliyan</v>
      </c>
      <c r="K923" s="6"/>
      <c r="L923" s="6"/>
      <c r="M923" s="6"/>
      <c r="N923" s="6"/>
      <c r="O923" s="6"/>
      <c r="P923" s="10" t="str">
        <f>IFERROR(__xludf.DUMMYFUNCTION("""COMPUTED_VALUE"""),"Ririn Tri Widayani, Aditya Liliyan")</f>
        <v>Ririn Tri Widayani, Aditya Liliyan</v>
      </c>
      <c r="Q923" s="11" t="str">
        <f>IFERROR(__xludf.DUMMYFUNCTION("""COMPUTED_VALUE"""),"https://repository.stiesurakarta.ac.id/submission/05bef696-808c-4495-a4dc-5334b285ca24")</f>
        <v>https://repository.stiesurakarta.ac.id/submission/05bef696-808c-4495-a4dc-5334b285ca24</v>
      </c>
      <c r="R923" s="6"/>
    </row>
    <row r="924">
      <c r="A924" s="5">
        <f>IFERROR(__xludf.DUMMYFUNCTION("""COMPUTED_VALUE"""),923.0)</f>
        <v>923</v>
      </c>
      <c r="B924" s="6" t="str">
        <f>IFERROR(__xludf.DUMMYFUNCTION("""COMPUTED_VALUE"""),"PENGARUH KUALITAS PRODUK DAN CITRA MEREK TERHADAP KEPUTUSAN PEMBELIAN SMARTHPHONE IPHONE DI BOYOLALI")</f>
        <v>PENGARUH KUALITAS PRODUK DAN CITRA MEREK TERHADAP KEPUTUSAN PEMBELIAN SMARTHPHONE IPHONE DI BOYOLALI</v>
      </c>
      <c r="C924" s="7">
        <f>IFERROR(__xludf.DUMMYFUNCTION("""COMPUTED_VALUE"""),2025.0)</f>
        <v>2025</v>
      </c>
      <c r="D924" s="8" t="str">
        <f>IFERROR(__xludf.DUMMYFUNCTION("""COMPUTED_VALUE"""),"2024/2025")</f>
        <v>2024/2025</v>
      </c>
      <c r="E924" s="9">
        <f>IFERROR(__xludf.DUMMYFUNCTION("""COMPUTED_VALUE"""),45692.0)</f>
        <v>45692</v>
      </c>
      <c r="F924" s="5" t="str">
        <f>IFERROR(__xludf.DUMMYFUNCTION("""COMPUTED_VALUE"""),"Ganjil")</f>
        <v>Ganjil</v>
      </c>
      <c r="G924" s="5" t="str">
        <f>IFERROR(__xludf.DUMMYFUNCTION("""COMPUTED_VALUE"""),"Manajemen")</f>
        <v>Manajemen</v>
      </c>
      <c r="H924" s="10" t="str">
        <f>IFERROR(__xludf.DUMMYFUNCTION("""COMPUTED_VALUE"""),"Mahasiswa")</f>
        <v>Mahasiswa</v>
      </c>
      <c r="I924" s="6" t="str">
        <f>IFERROR(__xludf.DUMMYFUNCTION("""COMPUTED_VALUE"""),"Muhammad Fajar Nugroho")</f>
        <v>Muhammad Fajar Nugroho</v>
      </c>
      <c r="J924" s="6" t="str">
        <f>IFERROR(__xludf.DUMMYFUNCTION("""COMPUTED_VALUE"""),"Muhammad Syihabuddin")</f>
        <v>Muhammad Syihabuddin</v>
      </c>
      <c r="K924" s="6"/>
      <c r="L924" s="6"/>
      <c r="M924" s="6"/>
      <c r="N924" s="6"/>
      <c r="O924" s="6"/>
      <c r="P924" s="10" t="str">
        <f>IFERROR(__xludf.DUMMYFUNCTION("""COMPUTED_VALUE"""),"Muhammad Fajar Nugroho, Muhammad Syihabuddin")</f>
        <v>Muhammad Fajar Nugroho, Muhammad Syihabuddin</v>
      </c>
      <c r="Q924" s="11" t="str">
        <f>IFERROR(__xludf.DUMMYFUNCTION("""COMPUTED_VALUE"""),"https://repository.stiesurakarta.ac.id/submission/c046fef2-4aa5-4bd5-a46a-a4ccb34f0c9e")</f>
        <v>https://repository.stiesurakarta.ac.id/submission/c046fef2-4aa5-4bd5-a46a-a4ccb34f0c9e</v>
      </c>
      <c r="R924" s="6"/>
    </row>
    <row r="925">
      <c r="A925" s="5">
        <f>IFERROR(__xludf.DUMMYFUNCTION("""COMPUTED_VALUE"""),924.0)</f>
        <v>924</v>
      </c>
      <c r="B925" s="6" t="str">
        <f>IFERROR(__xludf.DUMMYFUNCTION("""COMPUTED_VALUE"""),"PENGARUH INKLUSI KEUANGAN, GAYA HIDUP HEDONIS, LOCUS OF CONTROL, DAN PENDAPATAN TERHADAP PENGELOLAAN KEUANGAN GEN Z DI KABUPATEN KLATEN")</f>
        <v>PENGARUH INKLUSI KEUANGAN, GAYA HIDUP HEDONIS, LOCUS OF CONTROL, DAN PENDAPATAN TERHADAP PENGELOLAAN KEUANGAN GEN Z DI KABUPATEN KLATEN</v>
      </c>
      <c r="C925" s="7">
        <f>IFERROR(__xludf.DUMMYFUNCTION("""COMPUTED_VALUE"""),2025.0)</f>
        <v>2025</v>
      </c>
      <c r="D925" s="8" t="str">
        <f>IFERROR(__xludf.DUMMYFUNCTION("""COMPUTED_VALUE"""),"2024/2025")</f>
        <v>2024/2025</v>
      </c>
      <c r="E925" s="9">
        <f>IFERROR(__xludf.DUMMYFUNCTION("""COMPUTED_VALUE"""),45692.0)</f>
        <v>45692</v>
      </c>
      <c r="F925" s="5" t="str">
        <f>IFERROR(__xludf.DUMMYFUNCTION("""COMPUTED_VALUE"""),"Ganjil")</f>
        <v>Ganjil</v>
      </c>
      <c r="G925" s="5" t="str">
        <f>IFERROR(__xludf.DUMMYFUNCTION("""COMPUTED_VALUE"""),"Akuntansi")</f>
        <v>Akuntansi</v>
      </c>
      <c r="H925" s="10" t="str">
        <f>IFERROR(__xludf.DUMMYFUNCTION("""COMPUTED_VALUE"""),"Mahasiswa")</f>
        <v>Mahasiswa</v>
      </c>
      <c r="I925" s="6" t="str">
        <f>IFERROR(__xludf.DUMMYFUNCTION("""COMPUTED_VALUE"""),"Alivia Azhari")</f>
        <v>Alivia Azhari</v>
      </c>
      <c r="J925" s="6" t="str">
        <f>IFERROR(__xludf.DUMMYFUNCTION("""COMPUTED_VALUE"""),"Ismunawan")</f>
        <v>Ismunawan</v>
      </c>
      <c r="K925" s="6"/>
      <c r="L925" s="6"/>
      <c r="M925" s="6"/>
      <c r="N925" s="6"/>
      <c r="O925" s="6"/>
      <c r="P925" s="10" t="str">
        <f>IFERROR(__xludf.DUMMYFUNCTION("""COMPUTED_VALUE"""),"Alivia Azhari, Ismunawan")</f>
        <v>Alivia Azhari, Ismunawan</v>
      </c>
      <c r="Q925" s="11" t="str">
        <f>IFERROR(__xludf.DUMMYFUNCTION("""COMPUTED_VALUE"""),"https://repository.stiesurakarta.ac.id/submission/cb760767-c29e-42c9-a995-22120a254351")</f>
        <v>https://repository.stiesurakarta.ac.id/submission/cb760767-c29e-42c9-a995-22120a254351</v>
      </c>
      <c r="R925" s="6"/>
    </row>
    <row r="926">
      <c r="A926" s="5">
        <f>IFERROR(__xludf.DUMMYFUNCTION("""COMPUTED_VALUE"""),925.0)</f>
        <v>925</v>
      </c>
      <c r="B926" s="6" t="str">
        <f>IFERROR(__xludf.DUMMYFUNCTION("""COMPUTED_VALUE"""),"DETERMINAN PENGGUNA SISTEM INFORMASI AKUNTANSI PADA UMKM KOTA SURAKARTA")</f>
        <v>DETERMINAN PENGGUNA SISTEM INFORMASI AKUNTANSI PADA UMKM KOTA SURAKARTA</v>
      </c>
      <c r="C926" s="7">
        <f>IFERROR(__xludf.DUMMYFUNCTION("""COMPUTED_VALUE"""),2025.0)</f>
        <v>2025</v>
      </c>
      <c r="D926" s="8" t="str">
        <f>IFERROR(__xludf.DUMMYFUNCTION("""COMPUTED_VALUE"""),"2024/2025")</f>
        <v>2024/2025</v>
      </c>
      <c r="E926" s="9">
        <f>IFERROR(__xludf.DUMMYFUNCTION("""COMPUTED_VALUE"""),45692.0)</f>
        <v>45692</v>
      </c>
      <c r="F926" s="5" t="str">
        <f>IFERROR(__xludf.DUMMYFUNCTION("""COMPUTED_VALUE"""),"Ganjil")</f>
        <v>Ganjil</v>
      </c>
      <c r="G926" s="5" t="str">
        <f>IFERROR(__xludf.DUMMYFUNCTION("""COMPUTED_VALUE"""),"Akuntansi")</f>
        <v>Akuntansi</v>
      </c>
      <c r="H926" s="10" t="str">
        <f>IFERROR(__xludf.DUMMYFUNCTION("""COMPUTED_VALUE"""),"Mahasiswa")</f>
        <v>Mahasiswa</v>
      </c>
      <c r="I926" s="6" t="str">
        <f>IFERROR(__xludf.DUMMYFUNCTION("""COMPUTED_VALUE"""),"Annisa Husna Dhea Atsilla")</f>
        <v>Annisa Husna Dhea Atsilla</v>
      </c>
      <c r="J926" s="6" t="str">
        <f>IFERROR(__xludf.DUMMYFUNCTION("""COMPUTED_VALUE"""),"Ismunawan")</f>
        <v>Ismunawan</v>
      </c>
      <c r="K926" s="6"/>
      <c r="L926" s="6"/>
      <c r="M926" s="6"/>
      <c r="N926" s="6"/>
      <c r="O926" s="6"/>
      <c r="P926" s="10" t="str">
        <f>IFERROR(__xludf.DUMMYFUNCTION("""COMPUTED_VALUE"""),"Annisa Husna Dhea Atsilla, Ismunawan")</f>
        <v>Annisa Husna Dhea Atsilla, Ismunawan</v>
      </c>
      <c r="Q926" s="11" t="str">
        <f>IFERROR(__xludf.DUMMYFUNCTION("""COMPUTED_VALUE"""),"https://repository.stiesurakarta.ac.id/submission/5e2e8634-b3f7-4e93-9c20-0ee527240455")</f>
        <v>https://repository.stiesurakarta.ac.id/submission/5e2e8634-b3f7-4e93-9c20-0ee527240455</v>
      </c>
      <c r="R926" s="6"/>
    </row>
    <row r="927">
      <c r="A927" s="5">
        <f>IFERROR(__xludf.DUMMYFUNCTION("""COMPUTED_VALUE"""),926.0)</f>
        <v>926</v>
      </c>
      <c r="B927" s="6" t="str">
        <f>IFERROR(__xludf.DUMMYFUNCTION("""COMPUTED_VALUE"""),"PENGARUH EARNING PER SHARE, PRICE EARNING RASIO, PRICE TO BOOK VALUE DAN INFLASI TERHADAP HARGA SAHAM PADA PERUSAHAAN SUB SEKTOR TELEKOMUNIKASI YANG TERDAFTAR DI BURSA EFEK INDONESIA PERIODE 2019-2023")</f>
        <v>PENGARUH EARNING PER SHARE, PRICE EARNING RASIO, PRICE TO BOOK VALUE DAN INFLASI TERHADAP HARGA SAHAM PADA PERUSAHAAN SUB SEKTOR TELEKOMUNIKASI YANG TERDAFTAR DI BURSA EFEK INDONESIA PERIODE 2019-2023</v>
      </c>
      <c r="C927" s="7">
        <f>IFERROR(__xludf.DUMMYFUNCTION("""COMPUTED_VALUE"""),2025.0)</f>
        <v>2025</v>
      </c>
      <c r="D927" s="8" t="str">
        <f>IFERROR(__xludf.DUMMYFUNCTION("""COMPUTED_VALUE"""),"2024/2025")</f>
        <v>2024/2025</v>
      </c>
      <c r="E927" s="9">
        <f>IFERROR(__xludf.DUMMYFUNCTION("""COMPUTED_VALUE"""),45692.0)</f>
        <v>45692</v>
      </c>
      <c r="F927" s="5" t="str">
        <f>IFERROR(__xludf.DUMMYFUNCTION("""COMPUTED_VALUE"""),"Ganjil")</f>
        <v>Ganjil</v>
      </c>
      <c r="G927" s="5" t="str">
        <f>IFERROR(__xludf.DUMMYFUNCTION("""COMPUTED_VALUE"""),"Akuntansi")</f>
        <v>Akuntansi</v>
      </c>
      <c r="H927" s="10" t="str">
        <f>IFERROR(__xludf.DUMMYFUNCTION("""COMPUTED_VALUE"""),"Mahasiswa")</f>
        <v>Mahasiswa</v>
      </c>
      <c r="I927" s="6" t="str">
        <f>IFERROR(__xludf.DUMMYFUNCTION("""COMPUTED_VALUE"""),"Purnama Intan Eurhika")</f>
        <v>Purnama Intan Eurhika</v>
      </c>
      <c r="J927" s="6" t="str">
        <f>IFERROR(__xludf.DUMMYFUNCTION("""COMPUTED_VALUE"""),"Eko Triyanto")</f>
        <v>Eko Triyanto</v>
      </c>
      <c r="K927" s="6"/>
      <c r="L927" s="6"/>
      <c r="M927" s="6"/>
      <c r="N927" s="6"/>
      <c r="O927" s="6"/>
      <c r="P927" s="10" t="str">
        <f>IFERROR(__xludf.DUMMYFUNCTION("""COMPUTED_VALUE"""),"Purnama Intan Eurhika, Eko Triyanto")</f>
        <v>Purnama Intan Eurhika, Eko Triyanto</v>
      </c>
      <c r="Q927" s="11" t="str">
        <f>IFERROR(__xludf.DUMMYFUNCTION("""COMPUTED_VALUE"""),"https://ejournal.warunayama.org/index.php/musytarineraca/article/view/11283")</f>
        <v>https://ejournal.warunayama.org/index.php/musytarineraca/article/view/11283</v>
      </c>
      <c r="R927" s="6"/>
    </row>
    <row r="928">
      <c r="A928" s="5">
        <f>IFERROR(__xludf.DUMMYFUNCTION("""COMPUTED_VALUE"""),927.0)</f>
        <v>927</v>
      </c>
      <c r="B928" s="6" t="str">
        <f>IFERROR(__xludf.DUMMYFUNCTION("""COMPUTED_VALUE"""),"Pengaruh Variasi Produk, Harga, dan Lokasi Terhadap Minat Beli Offline Ikan Mas Koki ( Study Kasus di Reseller Arm Goldfish )")</f>
        <v>Pengaruh Variasi Produk, Harga, dan Lokasi Terhadap Minat Beli Offline Ikan Mas Koki ( Study Kasus di Reseller Arm Goldfish )</v>
      </c>
      <c r="C928" s="7">
        <f>IFERROR(__xludf.DUMMYFUNCTION("""COMPUTED_VALUE"""),2025.0)</f>
        <v>2025</v>
      </c>
      <c r="D928" s="8" t="str">
        <f>IFERROR(__xludf.DUMMYFUNCTION("""COMPUTED_VALUE"""),"2024/2025")</f>
        <v>2024/2025</v>
      </c>
      <c r="E928" s="9">
        <f>IFERROR(__xludf.DUMMYFUNCTION("""COMPUTED_VALUE"""),45693.0)</f>
        <v>45693</v>
      </c>
      <c r="F928" s="5" t="str">
        <f>IFERROR(__xludf.DUMMYFUNCTION("""COMPUTED_VALUE"""),"Ganjil")</f>
        <v>Ganjil</v>
      </c>
      <c r="G928" s="5" t="str">
        <f>IFERROR(__xludf.DUMMYFUNCTION("""COMPUTED_VALUE"""),"Manajemen")</f>
        <v>Manajemen</v>
      </c>
      <c r="H928" s="10" t="str">
        <f>IFERROR(__xludf.DUMMYFUNCTION("""COMPUTED_VALUE"""),"Mahasiswa")</f>
        <v>Mahasiswa</v>
      </c>
      <c r="I928" s="6" t="str">
        <f>IFERROR(__xludf.DUMMYFUNCTION("""COMPUTED_VALUE"""),"Alfian Rizky Mahendra")</f>
        <v>Alfian Rizky Mahendra</v>
      </c>
      <c r="J928" s="6" t="str">
        <f>IFERROR(__xludf.DUMMYFUNCTION("""COMPUTED_VALUE"""),"Budi istiyanto")</f>
        <v>Budi istiyanto</v>
      </c>
      <c r="K928" s="6"/>
      <c r="L928" s="6"/>
      <c r="M928" s="6"/>
      <c r="N928" s="6"/>
      <c r="O928" s="6"/>
      <c r="P928" s="10" t="str">
        <f>IFERROR(__xludf.DUMMYFUNCTION("""COMPUTED_VALUE"""),"Alfian Rizky Mahendra, Budi istiyanto")</f>
        <v>Alfian Rizky Mahendra, Budi istiyanto</v>
      </c>
      <c r="Q928" s="11" t="str">
        <f>IFERROR(__xludf.DUMMYFUNCTION("""COMPUTED_VALUE"""),"https://repository.stiesurakarta.ac.id/submission/dc08297b-465c-432d-aa6f-3e7179efcb76")</f>
        <v>https://repository.stiesurakarta.ac.id/submission/dc08297b-465c-432d-aa6f-3e7179efcb76</v>
      </c>
      <c r="R928" s="6"/>
    </row>
    <row r="929">
      <c r="A929" s="5">
        <f>IFERROR(__xludf.DUMMYFUNCTION("""COMPUTED_VALUE"""),928.0)</f>
        <v>928</v>
      </c>
      <c r="B929" s="6" t="str">
        <f>IFERROR(__xludf.DUMMYFUNCTION("""COMPUTED_VALUE"""),"Pengaruh Viral Marketing, Online Customer Review, dan Quality Product Terhadap Keputusan Pembelian di Tiktok Shop")</f>
        <v>Pengaruh Viral Marketing, Online Customer Review, dan Quality Product Terhadap Keputusan Pembelian di Tiktok Shop</v>
      </c>
      <c r="C929" s="7">
        <f>IFERROR(__xludf.DUMMYFUNCTION("""COMPUTED_VALUE"""),2025.0)</f>
        <v>2025</v>
      </c>
      <c r="D929" s="8" t="str">
        <f>IFERROR(__xludf.DUMMYFUNCTION("""COMPUTED_VALUE"""),"2024/2025")</f>
        <v>2024/2025</v>
      </c>
      <c r="E929" s="9">
        <f>IFERROR(__xludf.DUMMYFUNCTION("""COMPUTED_VALUE"""),45693.0)</f>
        <v>45693</v>
      </c>
      <c r="F929" s="5" t="str">
        <f>IFERROR(__xludf.DUMMYFUNCTION("""COMPUTED_VALUE"""),"Ganjil")</f>
        <v>Ganjil</v>
      </c>
      <c r="G929" s="5" t="str">
        <f>IFERROR(__xludf.DUMMYFUNCTION("""COMPUTED_VALUE"""),"Manajemen")</f>
        <v>Manajemen</v>
      </c>
      <c r="H929" s="10" t="str">
        <f>IFERROR(__xludf.DUMMYFUNCTION("""COMPUTED_VALUE"""),"Mahasiswa")</f>
        <v>Mahasiswa</v>
      </c>
      <c r="I929" s="6" t="str">
        <f>IFERROR(__xludf.DUMMYFUNCTION("""COMPUTED_VALUE"""),"Ayu Wijayati")</f>
        <v>Ayu Wijayati</v>
      </c>
      <c r="J929" s="6" t="str">
        <f>IFERROR(__xludf.DUMMYFUNCTION("""COMPUTED_VALUE"""),"Ari Susanti")</f>
        <v>Ari Susanti</v>
      </c>
      <c r="K929" s="6"/>
      <c r="L929" s="6"/>
      <c r="M929" s="6"/>
      <c r="N929" s="6"/>
      <c r="O929" s="6"/>
      <c r="P929" s="10" t="str">
        <f>IFERROR(__xludf.DUMMYFUNCTION("""COMPUTED_VALUE"""),"Ayu Wijayati, Ari Susanti")</f>
        <v>Ayu Wijayati, Ari Susanti</v>
      </c>
      <c r="Q929" s="11" t="str">
        <f>IFERROR(__xludf.DUMMYFUNCTION("""COMPUTED_VALUE"""),"https://repository.stiesurakarta.ac.id/submission/0449a9e5-af71-4ec3-b4a1-b62a09bd0fb8")</f>
        <v>https://repository.stiesurakarta.ac.id/submission/0449a9e5-af71-4ec3-b4a1-b62a09bd0fb8</v>
      </c>
      <c r="R929" s="6"/>
    </row>
    <row r="930">
      <c r="A930" s="5">
        <f>IFERROR(__xludf.DUMMYFUNCTION("""COMPUTED_VALUE"""),929.0)</f>
        <v>929</v>
      </c>
      <c r="B930" s="6" t="str">
        <f>IFERROR(__xludf.DUMMYFUNCTION("""COMPUTED_VALUE"""),"Pengaruh Harga, Kualitas Produk dan Brand Image Terhadap Keputusan Pembelian Produk Make Up Liptint Barenbliss di Solo Raya")</f>
        <v>Pengaruh Harga, Kualitas Produk dan Brand Image Terhadap Keputusan Pembelian Produk Make Up Liptint Barenbliss di Solo Raya</v>
      </c>
      <c r="C930" s="7">
        <f>IFERROR(__xludf.DUMMYFUNCTION("""COMPUTED_VALUE"""),2025.0)</f>
        <v>2025</v>
      </c>
      <c r="D930" s="8" t="str">
        <f>IFERROR(__xludf.DUMMYFUNCTION("""COMPUTED_VALUE"""),"2024/2025")</f>
        <v>2024/2025</v>
      </c>
      <c r="E930" s="9">
        <f>IFERROR(__xludf.DUMMYFUNCTION("""COMPUTED_VALUE"""),45693.0)</f>
        <v>45693</v>
      </c>
      <c r="F930" s="5" t="str">
        <f>IFERROR(__xludf.DUMMYFUNCTION("""COMPUTED_VALUE"""),"Ganjil")</f>
        <v>Ganjil</v>
      </c>
      <c r="G930" s="5" t="str">
        <f>IFERROR(__xludf.DUMMYFUNCTION("""COMPUTED_VALUE"""),"Manajemen")</f>
        <v>Manajemen</v>
      </c>
      <c r="H930" s="10" t="str">
        <f>IFERROR(__xludf.DUMMYFUNCTION("""COMPUTED_VALUE"""),"Mahasiswa")</f>
        <v>Mahasiswa</v>
      </c>
      <c r="I930" s="6" t="str">
        <f>IFERROR(__xludf.DUMMYFUNCTION("""COMPUTED_VALUE"""),"Ratih Dwi Apriyani")</f>
        <v>Ratih Dwi Apriyani</v>
      </c>
      <c r="J930" s="6" t="str">
        <f>IFERROR(__xludf.DUMMYFUNCTION("""COMPUTED_VALUE"""),"Ari Susanti")</f>
        <v>Ari Susanti</v>
      </c>
      <c r="K930" s="6"/>
      <c r="L930" s="6"/>
      <c r="M930" s="6"/>
      <c r="N930" s="6"/>
      <c r="O930" s="6"/>
      <c r="P930" s="10" t="str">
        <f>IFERROR(__xludf.DUMMYFUNCTION("""COMPUTED_VALUE"""),"Ratih Dwi Apriyani, Ari Susanti")</f>
        <v>Ratih Dwi Apriyani, Ari Susanti</v>
      </c>
      <c r="Q930" s="11" t="str">
        <f>IFERROR(__xludf.DUMMYFUNCTION("""COMPUTED_VALUE"""),"https://repository.stiesurakarta.ac.id/submission/e8883ee5-b232-4a4c-af53-e5a9218f3646")</f>
        <v>https://repository.stiesurakarta.ac.id/submission/e8883ee5-b232-4a4c-af53-e5a9218f3646</v>
      </c>
      <c r="R930" s="6"/>
    </row>
    <row r="931">
      <c r="A931" s="5">
        <f>IFERROR(__xludf.DUMMYFUNCTION("""COMPUTED_VALUE"""),930.0)</f>
        <v>930</v>
      </c>
      <c r="B931" s="6" t="str">
        <f>IFERROR(__xludf.DUMMYFUNCTION("""COMPUTED_VALUE"""),"Analisis Faktor yang Mendorong Minat Seseorang Memilih Menjadi Driver Gojek Online Sebagai Pekerjaan Tetap di Surakarta")</f>
        <v>Analisis Faktor yang Mendorong Minat Seseorang Memilih Menjadi Driver Gojek Online Sebagai Pekerjaan Tetap di Surakarta</v>
      </c>
      <c r="C931" s="7">
        <f>IFERROR(__xludf.DUMMYFUNCTION("""COMPUTED_VALUE"""),2025.0)</f>
        <v>2025</v>
      </c>
      <c r="D931" s="8" t="str">
        <f>IFERROR(__xludf.DUMMYFUNCTION("""COMPUTED_VALUE"""),"2024/2025")</f>
        <v>2024/2025</v>
      </c>
      <c r="E931" s="9">
        <f>IFERROR(__xludf.DUMMYFUNCTION("""COMPUTED_VALUE"""),45694.0)</f>
        <v>45694</v>
      </c>
      <c r="F931" s="5" t="str">
        <f>IFERROR(__xludf.DUMMYFUNCTION("""COMPUTED_VALUE"""),"Ganjil")</f>
        <v>Ganjil</v>
      </c>
      <c r="G931" s="5" t="str">
        <f>IFERROR(__xludf.DUMMYFUNCTION("""COMPUTED_VALUE"""),"Manajemen")</f>
        <v>Manajemen</v>
      </c>
      <c r="H931" s="10" t="str">
        <f>IFERROR(__xludf.DUMMYFUNCTION("""COMPUTED_VALUE"""),"Mahasiswa")</f>
        <v>Mahasiswa</v>
      </c>
      <c r="I931" s="6" t="str">
        <f>IFERROR(__xludf.DUMMYFUNCTION("""COMPUTED_VALUE"""),"Heru Nur Vebriansyah")</f>
        <v>Heru Nur Vebriansyah</v>
      </c>
      <c r="J931" s="6" t="str">
        <f>IFERROR(__xludf.DUMMYFUNCTION("""COMPUTED_VALUE"""),"Aditya Liliyan")</f>
        <v>Aditya Liliyan</v>
      </c>
      <c r="K931" s="6"/>
      <c r="L931" s="6"/>
      <c r="M931" s="6"/>
      <c r="N931" s="6"/>
      <c r="O931" s="6"/>
      <c r="P931" s="10" t="str">
        <f>IFERROR(__xludf.DUMMYFUNCTION("""COMPUTED_VALUE"""),"Heru Nur Vebriansyah, Aditya Liliyan")</f>
        <v>Heru Nur Vebriansyah, Aditya Liliyan</v>
      </c>
      <c r="Q931" s="11" t="str">
        <f>IFERROR(__xludf.DUMMYFUNCTION("""COMPUTED_VALUE"""),"https://repository.stiesurakarta.ac.id/submission/def423bc-d46f-4c63-9c6a-1dc0e2e3d09f")</f>
        <v>https://repository.stiesurakarta.ac.id/submission/def423bc-d46f-4c63-9c6a-1dc0e2e3d09f</v>
      </c>
      <c r="R931" s="6"/>
    </row>
    <row r="932">
      <c r="A932" s="5">
        <f>IFERROR(__xludf.DUMMYFUNCTION("""COMPUTED_VALUE"""),931.0)</f>
        <v>931</v>
      </c>
      <c r="B932" s="6" t="str">
        <f>IFERROR(__xludf.DUMMYFUNCTION("""COMPUTED_VALUE"""),"Pengaruh Live Streaming, Flash Sale, dan Online Customer Review Terhadap Perilaku Impulsive Buying Pada Pengguna Tiktok di Solo Raya")</f>
        <v>Pengaruh Live Streaming, Flash Sale, dan Online Customer Review Terhadap Perilaku Impulsive Buying Pada Pengguna Tiktok di Solo Raya</v>
      </c>
      <c r="C932" s="7">
        <f>IFERROR(__xludf.DUMMYFUNCTION("""COMPUTED_VALUE"""),2025.0)</f>
        <v>2025</v>
      </c>
      <c r="D932" s="8" t="str">
        <f>IFERROR(__xludf.DUMMYFUNCTION("""COMPUTED_VALUE"""),"2024/2025")</f>
        <v>2024/2025</v>
      </c>
      <c r="E932" s="9">
        <f>IFERROR(__xludf.DUMMYFUNCTION("""COMPUTED_VALUE"""),45695.0)</f>
        <v>45695</v>
      </c>
      <c r="F932" s="5" t="str">
        <f>IFERROR(__xludf.DUMMYFUNCTION("""COMPUTED_VALUE"""),"Ganjil")</f>
        <v>Ganjil</v>
      </c>
      <c r="G932" s="5" t="str">
        <f>IFERROR(__xludf.DUMMYFUNCTION("""COMPUTED_VALUE"""),"Manajemen")</f>
        <v>Manajemen</v>
      </c>
      <c r="H932" s="10" t="str">
        <f>IFERROR(__xludf.DUMMYFUNCTION("""COMPUTED_VALUE"""),"Mahasiswa")</f>
        <v>Mahasiswa</v>
      </c>
      <c r="I932" s="6" t="str">
        <f>IFERROR(__xludf.DUMMYFUNCTION("""COMPUTED_VALUE"""),"Brina Lulianita")</f>
        <v>Brina Lulianita</v>
      </c>
      <c r="J932" s="6" t="str">
        <f>IFERROR(__xludf.DUMMYFUNCTION("""COMPUTED_VALUE"""),"Ari Susanti")</f>
        <v>Ari Susanti</v>
      </c>
      <c r="K932" s="6"/>
      <c r="L932" s="6"/>
      <c r="M932" s="6"/>
      <c r="N932" s="6"/>
      <c r="O932" s="6"/>
      <c r="P932" s="10" t="str">
        <f>IFERROR(__xludf.DUMMYFUNCTION("""COMPUTED_VALUE"""),"Brina Lulianita, Ari Susanti")</f>
        <v>Brina Lulianita, Ari Susanti</v>
      </c>
      <c r="Q932" s="11" t="str">
        <f>IFERROR(__xludf.DUMMYFUNCTION("""COMPUTED_VALUE"""),"https://repository.stiesurakarta.ac.id/submission/209693c5-4aec-43cf-a1da-00c1c59551d7")</f>
        <v>https://repository.stiesurakarta.ac.id/submission/209693c5-4aec-43cf-a1da-00c1c59551d7</v>
      </c>
      <c r="R932" s="6"/>
    </row>
    <row r="933">
      <c r="A933" s="5">
        <f>IFERROR(__xludf.DUMMYFUNCTION("""COMPUTED_VALUE"""),932.0)</f>
        <v>932</v>
      </c>
      <c r="B933" s="6" t="str">
        <f>IFERROR(__xludf.DUMMYFUNCTION("""COMPUTED_VALUE"""),"Pengaruh Gaya Kepemimpinan, Motivasi dan Reward Terhadap Produktivitas Karyawan (PT Kanaan Global Indonesia )")</f>
        <v>Pengaruh Gaya Kepemimpinan, Motivasi dan Reward Terhadap Produktivitas Karyawan (PT Kanaan Global Indonesia )</v>
      </c>
      <c r="C933" s="7">
        <f>IFERROR(__xludf.DUMMYFUNCTION("""COMPUTED_VALUE"""),2025.0)</f>
        <v>2025</v>
      </c>
      <c r="D933" s="8" t="str">
        <f>IFERROR(__xludf.DUMMYFUNCTION("""COMPUTED_VALUE"""),"2024/2025")</f>
        <v>2024/2025</v>
      </c>
      <c r="E933" s="9">
        <f>IFERROR(__xludf.DUMMYFUNCTION("""COMPUTED_VALUE"""),45695.0)</f>
        <v>45695</v>
      </c>
      <c r="F933" s="5" t="str">
        <f>IFERROR(__xludf.DUMMYFUNCTION("""COMPUTED_VALUE"""),"Ganjil")</f>
        <v>Ganjil</v>
      </c>
      <c r="G933" s="5" t="str">
        <f>IFERROR(__xludf.DUMMYFUNCTION("""COMPUTED_VALUE"""),"Manajemen")</f>
        <v>Manajemen</v>
      </c>
      <c r="H933" s="10" t="str">
        <f>IFERROR(__xludf.DUMMYFUNCTION("""COMPUTED_VALUE"""),"Mahasiswa")</f>
        <v>Mahasiswa</v>
      </c>
      <c r="I933" s="6" t="str">
        <f>IFERROR(__xludf.DUMMYFUNCTION("""COMPUTED_VALUE"""),"Agustin Wijayanti")</f>
        <v>Agustin Wijayanti</v>
      </c>
      <c r="J933" s="6" t="str">
        <f>IFERROR(__xludf.DUMMYFUNCTION("""COMPUTED_VALUE"""),"Ari Susanti")</f>
        <v>Ari Susanti</v>
      </c>
      <c r="K933" s="6"/>
      <c r="L933" s="6"/>
      <c r="M933" s="6"/>
      <c r="N933" s="6"/>
      <c r="O933" s="6"/>
      <c r="P933" s="10" t="str">
        <f>IFERROR(__xludf.DUMMYFUNCTION("""COMPUTED_VALUE"""),"Agustin Wijayanti, Ari Susanti")</f>
        <v>Agustin Wijayanti, Ari Susanti</v>
      </c>
      <c r="Q933" s="11" t="str">
        <f>IFERROR(__xludf.DUMMYFUNCTION("""COMPUTED_VALUE"""),"https://repository.stiesurakarta.ac.id/submission/377705b4-3b31-4f90-b2ce-23e1ed41a1b6")</f>
        <v>https://repository.stiesurakarta.ac.id/submission/377705b4-3b31-4f90-b2ce-23e1ed41a1b6</v>
      </c>
      <c r="R933" s="6"/>
    </row>
    <row r="934">
      <c r="A934" s="5">
        <f>IFERROR(__xludf.DUMMYFUNCTION("""COMPUTED_VALUE"""),933.0)</f>
        <v>933</v>
      </c>
      <c r="B934" s="6" t="str">
        <f>IFERROR(__xludf.DUMMYFUNCTION("""COMPUTED_VALUE"""),"Pengaruh Image Developer, Motivasi Konsumen, Dan Preferensi Konsumen Terhadap Keputusan Pembelian Properti Pada PT Safira Grup Solo")</f>
        <v>Pengaruh Image Developer, Motivasi Konsumen, Dan Preferensi Konsumen Terhadap Keputusan Pembelian Properti Pada PT Safira Grup Solo</v>
      </c>
      <c r="C934" s="7">
        <f>IFERROR(__xludf.DUMMYFUNCTION("""COMPUTED_VALUE"""),2025.0)</f>
        <v>2025</v>
      </c>
      <c r="D934" s="8" t="str">
        <f>IFERROR(__xludf.DUMMYFUNCTION("""COMPUTED_VALUE"""),"2024/2025")</f>
        <v>2024/2025</v>
      </c>
      <c r="E934" s="9">
        <f>IFERROR(__xludf.DUMMYFUNCTION("""COMPUTED_VALUE"""),45695.0)</f>
        <v>45695</v>
      </c>
      <c r="F934" s="5" t="str">
        <f>IFERROR(__xludf.DUMMYFUNCTION("""COMPUTED_VALUE"""),"Ganjil")</f>
        <v>Ganjil</v>
      </c>
      <c r="G934" s="5" t="str">
        <f>IFERROR(__xludf.DUMMYFUNCTION("""COMPUTED_VALUE"""),"Manajemen")</f>
        <v>Manajemen</v>
      </c>
      <c r="H934" s="10" t="str">
        <f>IFERROR(__xludf.DUMMYFUNCTION("""COMPUTED_VALUE"""),"Mahasiswa")</f>
        <v>Mahasiswa</v>
      </c>
      <c r="I934" s="6" t="str">
        <f>IFERROR(__xludf.DUMMYFUNCTION("""COMPUTED_VALUE"""),"Abdul Rhauf Firdaus")</f>
        <v>Abdul Rhauf Firdaus</v>
      </c>
      <c r="J934" s="6" t="str">
        <f>IFERROR(__xludf.DUMMYFUNCTION("""COMPUTED_VALUE"""),"Aditya Liliyan")</f>
        <v>Aditya Liliyan</v>
      </c>
      <c r="K934" s="6"/>
      <c r="L934" s="6"/>
      <c r="M934" s="6"/>
      <c r="N934" s="6"/>
      <c r="O934" s="6"/>
      <c r="P934" s="10" t="str">
        <f>IFERROR(__xludf.DUMMYFUNCTION("""COMPUTED_VALUE"""),"Abdul Rhauf Firdaus, Aditya Liliyan")</f>
        <v>Abdul Rhauf Firdaus, Aditya Liliyan</v>
      </c>
      <c r="Q934" s="11" t="str">
        <f>IFERROR(__xludf.DUMMYFUNCTION("""COMPUTED_VALUE"""),"https://repository.stiesurakarta.ac.id/submission/c21c8c6c-7387-4b0c-be67-b94c8f68722f")</f>
        <v>https://repository.stiesurakarta.ac.id/submission/c21c8c6c-7387-4b0c-be67-b94c8f68722f</v>
      </c>
      <c r="R934" s="6"/>
    </row>
    <row r="935">
      <c r="A935" s="5">
        <f>IFERROR(__xludf.DUMMYFUNCTION("""COMPUTED_VALUE"""),934.0)</f>
        <v>934</v>
      </c>
      <c r="B935" s="6" t="str">
        <f>IFERROR(__xludf.DUMMYFUNCTION("""COMPUTED_VALUE"""),"PENGARUH KUALITAS PRODUK, CELEBRITY ENDORSE, DAN HARGA TERHADAP KEPUTUSAN PEMBELIAN SEPATU ORTUSEIGHT DI BOYOLALI")</f>
        <v>PENGARUH KUALITAS PRODUK, CELEBRITY ENDORSE, DAN HARGA TERHADAP KEPUTUSAN PEMBELIAN SEPATU ORTUSEIGHT DI BOYOLALI</v>
      </c>
      <c r="C935" s="7">
        <f>IFERROR(__xludf.DUMMYFUNCTION("""COMPUTED_VALUE"""),2025.0)</f>
        <v>2025</v>
      </c>
      <c r="D935" s="8" t="str">
        <f>IFERROR(__xludf.DUMMYFUNCTION("""COMPUTED_VALUE"""),"2024/2025")</f>
        <v>2024/2025</v>
      </c>
      <c r="E935" s="9">
        <f>IFERROR(__xludf.DUMMYFUNCTION("""COMPUTED_VALUE"""),45695.0)</f>
        <v>45695</v>
      </c>
      <c r="F935" s="5" t="str">
        <f>IFERROR(__xludf.DUMMYFUNCTION("""COMPUTED_VALUE"""),"Ganjil")</f>
        <v>Ganjil</v>
      </c>
      <c r="G935" s="5" t="str">
        <f>IFERROR(__xludf.DUMMYFUNCTION("""COMPUTED_VALUE"""),"Akuntansi")</f>
        <v>Akuntansi</v>
      </c>
      <c r="H935" s="10" t="str">
        <f>IFERROR(__xludf.DUMMYFUNCTION("""COMPUTED_VALUE"""),"Mahasiswa")</f>
        <v>Mahasiswa</v>
      </c>
      <c r="I935" s="6" t="str">
        <f>IFERROR(__xludf.DUMMYFUNCTION("""COMPUTED_VALUE"""),"Muhammad Aruna Rafdhani Hanzallah")</f>
        <v>Muhammad Aruna Rafdhani Hanzallah</v>
      </c>
      <c r="J935" s="6" t="str">
        <f>IFERROR(__xludf.DUMMYFUNCTION("""COMPUTED_VALUE"""),"Tri Ratna Pamikatsih")</f>
        <v>Tri Ratna Pamikatsih</v>
      </c>
      <c r="K935" s="6"/>
      <c r="L935" s="6"/>
      <c r="M935" s="6"/>
      <c r="N935" s="6"/>
      <c r="O935" s="6"/>
      <c r="P935" s="10" t="str">
        <f>IFERROR(__xludf.DUMMYFUNCTION("""COMPUTED_VALUE"""),"Muhammad Aruna Rafdhani Hanzallah, Tri Ratna Pamikatsih")</f>
        <v>Muhammad Aruna Rafdhani Hanzallah, Tri Ratna Pamikatsih</v>
      </c>
      <c r="Q935" s="11" t="str">
        <f>IFERROR(__xludf.DUMMYFUNCTION("""COMPUTED_VALUE"""),"https://repository.stiesurakarta.ac.id/submission/081b278d-e1a4-4bdf-aa6c-49e86ad5df66")</f>
        <v>https://repository.stiesurakarta.ac.id/submission/081b278d-e1a4-4bdf-aa6c-49e86ad5df66</v>
      </c>
      <c r="R935" s="6"/>
    </row>
    <row r="936">
      <c r="A936" s="5">
        <f>IFERROR(__xludf.DUMMYFUNCTION("""COMPUTED_VALUE"""),935.0)</f>
        <v>935</v>
      </c>
      <c r="B936" s="6" t="str">
        <f>IFERROR(__xludf.DUMMYFUNCTION("""COMPUTED_VALUE"""),"Pengaruh kualitas produk, lokasi dan kualitas pelayanan pada coffee shop hakui kopi")</f>
        <v>Pengaruh kualitas produk, lokasi dan kualitas pelayanan pada coffee shop hakui kopi</v>
      </c>
      <c r="C936" s="7">
        <f>IFERROR(__xludf.DUMMYFUNCTION("""COMPUTED_VALUE"""),2025.0)</f>
        <v>2025</v>
      </c>
      <c r="D936" s="8" t="str">
        <f>IFERROR(__xludf.DUMMYFUNCTION("""COMPUTED_VALUE"""),"2024/2025")</f>
        <v>2024/2025</v>
      </c>
      <c r="E936" s="9">
        <f>IFERROR(__xludf.DUMMYFUNCTION("""COMPUTED_VALUE"""),45698.0)</f>
        <v>45698</v>
      </c>
      <c r="F936" s="5" t="str">
        <f>IFERROR(__xludf.DUMMYFUNCTION("""COMPUTED_VALUE"""),"Ganjil")</f>
        <v>Ganjil</v>
      </c>
      <c r="G936" s="5" t="str">
        <f>IFERROR(__xludf.DUMMYFUNCTION("""COMPUTED_VALUE"""),"Manajemen")</f>
        <v>Manajemen</v>
      </c>
      <c r="H936" s="10" t="str">
        <f>IFERROR(__xludf.DUMMYFUNCTION("""COMPUTED_VALUE"""),"Mahasiswa")</f>
        <v>Mahasiswa</v>
      </c>
      <c r="I936" s="6" t="str">
        <f>IFERROR(__xludf.DUMMYFUNCTION("""COMPUTED_VALUE"""),"Muhammad Ilham Adrian")</f>
        <v>Muhammad Ilham Adrian</v>
      </c>
      <c r="J936" s="6" t="str">
        <f>IFERROR(__xludf.DUMMYFUNCTION("""COMPUTED_VALUE"""),"Aditya Liliyan")</f>
        <v>Aditya Liliyan</v>
      </c>
      <c r="K936" s="6"/>
      <c r="L936" s="6"/>
      <c r="M936" s="6"/>
      <c r="N936" s="6"/>
      <c r="O936" s="6"/>
      <c r="P936" s="10" t="str">
        <f>IFERROR(__xludf.DUMMYFUNCTION("""COMPUTED_VALUE"""),"Muhammad Ilham Adrian, Aditya Liliyan")</f>
        <v>Muhammad Ilham Adrian, Aditya Liliyan</v>
      </c>
      <c r="Q936" s="11" t="str">
        <f>IFERROR(__xludf.DUMMYFUNCTION("""COMPUTED_VALUE"""),"https://repository.stiesurakarta.ac.id/submission/0bee84b1-dc6b-437a-95e0-af91f3a68432")</f>
        <v>https://repository.stiesurakarta.ac.id/submission/0bee84b1-dc6b-437a-95e0-af91f3a68432</v>
      </c>
      <c r="R936" s="6"/>
    </row>
    <row r="937">
      <c r="A937" s="5">
        <f>IFERROR(__xludf.DUMMYFUNCTION("""COMPUTED_VALUE"""),936.0)</f>
        <v>936</v>
      </c>
      <c r="B937" s="6" t="str">
        <f>IFERROR(__xludf.DUMMYFUNCTION("""COMPUTED_VALUE"""),"PENGARUH KUALITAS PRODUK, DESAIN DAN HARGA PRODUK TERHADAP KEPUTUSAN PEMBELIAN (STUDI KASUS PRABOTMAMA DI SHOPEE)")</f>
        <v>PENGARUH KUALITAS PRODUK, DESAIN DAN HARGA PRODUK TERHADAP KEPUTUSAN PEMBELIAN (STUDI KASUS PRABOTMAMA DI SHOPEE)</v>
      </c>
      <c r="C937" s="7">
        <f>IFERROR(__xludf.DUMMYFUNCTION("""COMPUTED_VALUE"""),2025.0)</f>
        <v>2025</v>
      </c>
      <c r="D937" s="8" t="str">
        <f>IFERROR(__xludf.DUMMYFUNCTION("""COMPUTED_VALUE"""),"2024/2025")</f>
        <v>2024/2025</v>
      </c>
      <c r="E937" s="9">
        <f>IFERROR(__xludf.DUMMYFUNCTION("""COMPUTED_VALUE"""),45698.0)</f>
        <v>45698</v>
      </c>
      <c r="F937" s="5" t="str">
        <f>IFERROR(__xludf.DUMMYFUNCTION("""COMPUTED_VALUE"""),"Ganjil")</f>
        <v>Ganjil</v>
      </c>
      <c r="G937" s="5" t="str">
        <f>IFERROR(__xludf.DUMMYFUNCTION("""COMPUTED_VALUE"""),"Manajemen")</f>
        <v>Manajemen</v>
      </c>
      <c r="H937" s="10" t="str">
        <f>IFERROR(__xludf.DUMMYFUNCTION("""COMPUTED_VALUE"""),"Mahasiswa")</f>
        <v>Mahasiswa</v>
      </c>
      <c r="I937" s="6" t="str">
        <f>IFERROR(__xludf.DUMMYFUNCTION("""COMPUTED_VALUE"""),"Rizka Nur Yuliati")</f>
        <v>Rizka Nur Yuliati</v>
      </c>
      <c r="J937" s="6" t="str">
        <f>IFERROR(__xludf.DUMMYFUNCTION("""COMPUTED_VALUE"""),"Budi istiyanto")</f>
        <v>Budi istiyanto</v>
      </c>
      <c r="K937" s="6"/>
      <c r="L937" s="6"/>
      <c r="M937" s="6"/>
      <c r="N937" s="6"/>
      <c r="O937" s="6"/>
      <c r="P937" s="10" t="str">
        <f>IFERROR(__xludf.DUMMYFUNCTION("""COMPUTED_VALUE"""),"Rizka Nur Yuliati, Budi istiyanto")</f>
        <v>Rizka Nur Yuliati, Budi istiyanto</v>
      </c>
      <c r="Q937" s="11" t="str">
        <f>IFERROR(__xludf.DUMMYFUNCTION("""COMPUTED_VALUE"""),"https://ejurnal.kampusakademik.co.id/index.php/jaem/article/view/4046/version/4046")</f>
        <v>https://ejurnal.kampusakademik.co.id/index.php/jaem/article/view/4046/version/4046</v>
      </c>
      <c r="R937" s="6"/>
    </row>
    <row r="938">
      <c r="A938" s="5">
        <f>IFERROR(__xludf.DUMMYFUNCTION("""COMPUTED_VALUE"""),937.0)</f>
        <v>937</v>
      </c>
      <c r="B938" s="6" t="str">
        <f>IFERROR(__xludf.DUMMYFUNCTION("""COMPUTED_VALUE"""),"PENGARUH KENYAMANAN, HARGA, DAN KETEPATAN WAKTU TERHADAP KEPUASAN PELANGGAN KRL COMMUTER LINE SOLO – YOGYAKARTA")</f>
        <v>PENGARUH KENYAMANAN, HARGA, DAN KETEPATAN WAKTU TERHADAP KEPUASAN PELANGGAN KRL COMMUTER LINE SOLO – YOGYAKARTA</v>
      </c>
      <c r="C938" s="7">
        <f>IFERROR(__xludf.DUMMYFUNCTION("""COMPUTED_VALUE"""),2025.0)</f>
        <v>2025</v>
      </c>
      <c r="D938" s="8" t="str">
        <f>IFERROR(__xludf.DUMMYFUNCTION("""COMPUTED_VALUE"""),"2024/2025")</f>
        <v>2024/2025</v>
      </c>
      <c r="E938" s="9">
        <f>IFERROR(__xludf.DUMMYFUNCTION("""COMPUTED_VALUE"""),45699.0)</f>
        <v>45699</v>
      </c>
      <c r="F938" s="5" t="str">
        <f>IFERROR(__xludf.DUMMYFUNCTION("""COMPUTED_VALUE"""),"Ganjil")</f>
        <v>Ganjil</v>
      </c>
      <c r="G938" s="5" t="str">
        <f>IFERROR(__xludf.DUMMYFUNCTION("""COMPUTED_VALUE"""),"Manajemen")</f>
        <v>Manajemen</v>
      </c>
      <c r="H938" s="10" t="str">
        <f>IFERROR(__xludf.DUMMYFUNCTION("""COMPUTED_VALUE"""),"Mahasiswa")</f>
        <v>Mahasiswa</v>
      </c>
      <c r="I938" s="6" t="str">
        <f>IFERROR(__xludf.DUMMYFUNCTION("""COMPUTED_VALUE"""),"Intan Nissa Nur Aini")</f>
        <v>Intan Nissa Nur Aini</v>
      </c>
      <c r="J938" s="6" t="str">
        <f>IFERROR(__xludf.DUMMYFUNCTION("""COMPUTED_VALUE"""),"Aditya Liliyan")</f>
        <v>Aditya Liliyan</v>
      </c>
      <c r="K938" s="6"/>
      <c r="L938" s="6"/>
      <c r="M938" s="6"/>
      <c r="N938" s="6"/>
      <c r="O938" s="6"/>
      <c r="P938" s="10" t="str">
        <f>IFERROR(__xludf.DUMMYFUNCTION("""COMPUTED_VALUE"""),"Intan Nissa Nur Aini, Aditya Liliyan")</f>
        <v>Intan Nissa Nur Aini, Aditya Liliyan</v>
      </c>
      <c r="Q938" s="11" t="str">
        <f>IFERROR(__xludf.DUMMYFUNCTION("""COMPUTED_VALUE"""),"https://repository.stiesurakarta.ac.id/submission/064a4b1e-6e67-4f0b-93a3-78361536a78b")</f>
        <v>https://repository.stiesurakarta.ac.id/submission/064a4b1e-6e67-4f0b-93a3-78361536a78b</v>
      </c>
      <c r="R938" s="6"/>
    </row>
    <row r="939">
      <c r="A939" s="5">
        <f>IFERROR(__xludf.DUMMYFUNCTION("""COMPUTED_VALUE"""),938.0)</f>
        <v>938</v>
      </c>
      <c r="B939" s="6" t="str">
        <f>IFERROR(__xludf.DUMMYFUNCTION("""COMPUTED_VALUE"""),"PENGARUH TINGKAT PENDIDIKAN, UMUR USAHA, DAN PEMAHAMAN AKUNTANSI PELAKU UMKM DALAM MENGIMPLEMENTASIKAN SAK EMKM")</f>
        <v>PENGARUH TINGKAT PENDIDIKAN, UMUR USAHA, DAN PEMAHAMAN AKUNTANSI PELAKU UMKM DALAM MENGIMPLEMENTASIKAN SAK EMKM</v>
      </c>
      <c r="C939" s="7">
        <f>IFERROR(__xludf.DUMMYFUNCTION("""COMPUTED_VALUE"""),2025.0)</f>
        <v>2025</v>
      </c>
      <c r="D939" s="8" t="str">
        <f>IFERROR(__xludf.DUMMYFUNCTION("""COMPUTED_VALUE"""),"2024/2025")</f>
        <v>2024/2025</v>
      </c>
      <c r="E939" s="9">
        <f>IFERROR(__xludf.DUMMYFUNCTION("""COMPUTED_VALUE"""),45701.0)</f>
        <v>45701</v>
      </c>
      <c r="F939" s="5" t="str">
        <f>IFERROR(__xludf.DUMMYFUNCTION("""COMPUTED_VALUE"""),"Ganjil")</f>
        <v>Ganjil</v>
      </c>
      <c r="G939" s="5" t="str">
        <f>IFERROR(__xludf.DUMMYFUNCTION("""COMPUTED_VALUE"""),"Akuntansi")</f>
        <v>Akuntansi</v>
      </c>
      <c r="H939" s="10" t="str">
        <f>IFERROR(__xludf.DUMMYFUNCTION("""COMPUTED_VALUE"""),"Mahasiswa")</f>
        <v>Mahasiswa</v>
      </c>
      <c r="I939" s="6" t="str">
        <f>IFERROR(__xludf.DUMMYFUNCTION("""COMPUTED_VALUE"""),"Nanda Ayu Rahmalia")</f>
        <v>Nanda Ayu Rahmalia</v>
      </c>
      <c r="J939" s="6" t="str">
        <f>IFERROR(__xludf.DUMMYFUNCTION("""COMPUTED_VALUE"""),"Arif Nugroho Rachman")</f>
        <v>Arif Nugroho Rachman</v>
      </c>
      <c r="K939" s="6"/>
      <c r="L939" s="6"/>
      <c r="M939" s="6"/>
      <c r="N939" s="6"/>
      <c r="O939" s="6"/>
      <c r="P939" s="10" t="str">
        <f>IFERROR(__xludf.DUMMYFUNCTION("""COMPUTED_VALUE"""),"Nanda Ayu Rahmalia, Arif Nugroho Rachman")</f>
        <v>Nanda Ayu Rahmalia, Arif Nugroho Rachman</v>
      </c>
      <c r="Q939" s="11" t="str">
        <f>IFERROR(__xludf.DUMMYFUNCTION("""COMPUTED_VALUE"""),"https://ejournal.uby.ac.id/index.php/ekobis/article/view/1715")</f>
        <v>https://ejournal.uby.ac.id/index.php/ekobis/article/view/1715</v>
      </c>
      <c r="R939" s="6"/>
    </row>
    <row r="940">
      <c r="A940" s="5">
        <f>IFERROR(__xludf.DUMMYFUNCTION("""COMPUTED_VALUE"""),939.0)</f>
        <v>939</v>
      </c>
      <c r="B940" s="6" t="str">
        <f>IFERROR(__xludf.DUMMYFUNCTION("""COMPUTED_VALUE"""),"PENERAPAN SAK ETAP DENGAN BENAR PADA SISTEM KEUANGAN PT DAMAI GADAI")</f>
        <v>PENERAPAN SAK ETAP DENGAN BENAR PADA SISTEM KEUANGAN PT DAMAI GADAI</v>
      </c>
      <c r="C940" s="7">
        <f>IFERROR(__xludf.DUMMYFUNCTION("""COMPUTED_VALUE"""),2025.0)</f>
        <v>2025</v>
      </c>
      <c r="D940" s="8" t="str">
        <f>IFERROR(__xludf.DUMMYFUNCTION("""COMPUTED_VALUE"""),"2024/2025")</f>
        <v>2024/2025</v>
      </c>
      <c r="E940" s="9">
        <f>IFERROR(__xludf.DUMMYFUNCTION("""COMPUTED_VALUE"""),45701.0)</f>
        <v>45701</v>
      </c>
      <c r="F940" s="5" t="str">
        <f>IFERROR(__xludf.DUMMYFUNCTION("""COMPUTED_VALUE"""),"Ganjil")</f>
        <v>Ganjil</v>
      </c>
      <c r="G940" s="5" t="str">
        <f>IFERROR(__xludf.DUMMYFUNCTION("""COMPUTED_VALUE"""),"Akuntansi")</f>
        <v>Akuntansi</v>
      </c>
      <c r="H940" s="10" t="str">
        <f>IFERROR(__xludf.DUMMYFUNCTION("""COMPUTED_VALUE"""),"Mahasiswa")</f>
        <v>Mahasiswa</v>
      </c>
      <c r="I940" s="6" t="str">
        <f>IFERROR(__xludf.DUMMYFUNCTION("""COMPUTED_VALUE"""),"Grace Monika Indah Prastiwi")</f>
        <v>Grace Monika Indah Prastiwi</v>
      </c>
      <c r="J940" s="6" t="str">
        <f>IFERROR(__xludf.DUMMYFUNCTION("""COMPUTED_VALUE"""),"Tri Ratna Pamikatsih")</f>
        <v>Tri Ratna Pamikatsih</v>
      </c>
      <c r="K940" s="6"/>
      <c r="L940" s="6"/>
      <c r="M940" s="6"/>
      <c r="N940" s="6"/>
      <c r="O940" s="6"/>
      <c r="P940" s="10" t="str">
        <f>IFERROR(__xludf.DUMMYFUNCTION("""COMPUTED_VALUE"""),"Grace Monika Indah Prastiwi, Tri Ratna Pamikatsih")</f>
        <v>Grace Monika Indah Prastiwi, Tri Ratna Pamikatsih</v>
      </c>
      <c r="Q940" s="11" t="str">
        <f>IFERROR(__xludf.DUMMYFUNCTION("""COMPUTED_VALUE"""),"https://journal.smartpublisher.id/index.php/jilak/article/view/545")</f>
        <v>https://journal.smartpublisher.id/index.php/jilak/article/view/545</v>
      </c>
      <c r="R940" s="6"/>
    </row>
    <row r="941">
      <c r="A941" s="5">
        <f>IFERROR(__xludf.DUMMYFUNCTION("""COMPUTED_VALUE"""),940.0)</f>
        <v>940</v>
      </c>
      <c r="B941" s="6" t="str">
        <f>IFERROR(__xludf.DUMMYFUNCTION("""COMPUTED_VALUE"""),"PENGARUH HARGA DAN PROMOSI TERHADAP KEPUTUSAN PEMBELIAN UMKM (STUDI KASUS DI BANDAR UDARA INTERNASIONAL ADI SOEMARMO-SURAKARTA)")</f>
        <v>PENGARUH HARGA DAN PROMOSI TERHADAP KEPUTUSAN PEMBELIAN UMKM (STUDI KASUS DI BANDAR UDARA INTERNASIONAL ADI SOEMARMO-SURAKARTA)</v>
      </c>
      <c r="C941" s="7">
        <f>IFERROR(__xludf.DUMMYFUNCTION("""COMPUTED_VALUE"""),2025.0)</f>
        <v>2025</v>
      </c>
      <c r="D941" s="8" t="str">
        <f>IFERROR(__xludf.DUMMYFUNCTION("""COMPUTED_VALUE"""),"2024/2025")</f>
        <v>2024/2025</v>
      </c>
      <c r="E941" s="9">
        <f>IFERROR(__xludf.DUMMYFUNCTION("""COMPUTED_VALUE"""),45702.0)</f>
        <v>45702</v>
      </c>
      <c r="F941" s="5" t="str">
        <f>IFERROR(__xludf.DUMMYFUNCTION("""COMPUTED_VALUE"""),"Ganjil")</f>
        <v>Ganjil</v>
      </c>
      <c r="G941" s="5" t="str">
        <f>IFERROR(__xludf.DUMMYFUNCTION("""COMPUTED_VALUE"""),"Manajemen")</f>
        <v>Manajemen</v>
      </c>
      <c r="H941" s="10" t="str">
        <f>IFERROR(__xludf.DUMMYFUNCTION("""COMPUTED_VALUE"""),"Mahasiswa")</f>
        <v>Mahasiswa</v>
      </c>
      <c r="I941" s="6" t="str">
        <f>IFERROR(__xludf.DUMMYFUNCTION("""COMPUTED_VALUE"""),"Arti Nilasari")</f>
        <v>Arti Nilasari</v>
      </c>
      <c r="J941" s="6" t="str">
        <f>IFERROR(__xludf.DUMMYFUNCTION("""COMPUTED_VALUE"""),"Aditya Liliyan")</f>
        <v>Aditya Liliyan</v>
      </c>
      <c r="K941" s="6"/>
      <c r="L941" s="6"/>
      <c r="M941" s="6"/>
      <c r="N941" s="6"/>
      <c r="O941" s="6"/>
      <c r="P941" s="10" t="str">
        <f>IFERROR(__xludf.DUMMYFUNCTION("""COMPUTED_VALUE"""),"Arti Nilasari, Aditya Liliyan")</f>
        <v>Arti Nilasari, Aditya Liliyan</v>
      </c>
      <c r="Q941" s="11" t="str">
        <f>IFERROR(__xludf.DUMMYFUNCTION("""COMPUTED_VALUE"""),"https://repository.stiesurakarta.ac.id/submission/ee837b34-aacf-4d02-930c-c3d9f3716c92")</f>
        <v>https://repository.stiesurakarta.ac.id/submission/ee837b34-aacf-4d02-930c-c3d9f3716c92</v>
      </c>
      <c r="R941" s="6"/>
    </row>
    <row r="942">
      <c r="A942" s="5">
        <f>IFERROR(__xludf.DUMMYFUNCTION("""COMPUTED_VALUE"""),941.0)</f>
        <v>941</v>
      </c>
      <c r="B942" s="6" t="str">
        <f>IFERROR(__xludf.DUMMYFUNCTION("""COMPUTED_VALUE"""),"Pengaruh Media Sosial Instagram, Brand Identity, dan Brand Awareness Terhadap Keputusan Penggunaan Jasa Cuci Sepatu di Zappato Shoes Cleaning")</f>
        <v>Pengaruh Media Sosial Instagram, Brand Identity, dan Brand Awareness Terhadap Keputusan Penggunaan Jasa Cuci Sepatu di Zappato Shoes Cleaning</v>
      </c>
      <c r="C942" s="7">
        <f>IFERROR(__xludf.DUMMYFUNCTION("""COMPUTED_VALUE"""),2025.0)</f>
        <v>2025</v>
      </c>
      <c r="D942" s="8" t="str">
        <f>IFERROR(__xludf.DUMMYFUNCTION("""COMPUTED_VALUE"""),"2024/2025")</f>
        <v>2024/2025</v>
      </c>
      <c r="E942" s="9">
        <f>IFERROR(__xludf.DUMMYFUNCTION("""COMPUTED_VALUE"""),45702.0)</f>
        <v>45702</v>
      </c>
      <c r="F942" s="5" t="str">
        <f>IFERROR(__xludf.DUMMYFUNCTION("""COMPUTED_VALUE"""),"Ganjil")</f>
        <v>Ganjil</v>
      </c>
      <c r="G942" s="5" t="str">
        <f>IFERROR(__xludf.DUMMYFUNCTION("""COMPUTED_VALUE"""),"Manajemen")</f>
        <v>Manajemen</v>
      </c>
      <c r="H942" s="10" t="str">
        <f>IFERROR(__xludf.DUMMYFUNCTION("""COMPUTED_VALUE"""),"Mahasiswa")</f>
        <v>Mahasiswa</v>
      </c>
      <c r="I942" s="6" t="str">
        <f>IFERROR(__xludf.DUMMYFUNCTION("""COMPUTED_VALUE"""),"Stefanus Indra Saputra")</f>
        <v>Stefanus Indra Saputra</v>
      </c>
      <c r="J942" s="6" t="str">
        <f>IFERROR(__xludf.DUMMYFUNCTION("""COMPUTED_VALUE"""),"Budi istiyanto")</f>
        <v>Budi istiyanto</v>
      </c>
      <c r="K942" s="6"/>
      <c r="L942" s="6"/>
      <c r="M942" s="6"/>
      <c r="N942" s="6"/>
      <c r="O942" s="6"/>
      <c r="P942" s="10" t="str">
        <f>IFERROR(__xludf.DUMMYFUNCTION("""COMPUTED_VALUE"""),"Stefanus Indra Saputra, Budi istiyanto")</f>
        <v>Stefanus Indra Saputra, Budi istiyanto</v>
      </c>
      <c r="Q942" s="11" t="str">
        <f>IFERROR(__xludf.DUMMYFUNCTION("""COMPUTED_VALUE"""),"https://repository.stiesurakarta.ac.id/submission/44a3b908-7f95-4d05-afaa-62d525eb1d35")</f>
        <v>https://repository.stiesurakarta.ac.id/submission/44a3b908-7f95-4d05-afaa-62d525eb1d35</v>
      </c>
      <c r="R942" s="6"/>
    </row>
    <row r="943">
      <c r="A943" s="5">
        <f>IFERROR(__xludf.DUMMYFUNCTION("""COMPUTED_VALUE"""),942.0)</f>
        <v>942</v>
      </c>
      <c r="B943" s="6" t="str">
        <f>IFERROR(__xludf.DUMMYFUNCTION("""COMPUTED_VALUE"""),"Peran Konten Sosial Media Instagram Dalam Keputusan Pemesanan Jasa Makeupartist (MUA) Pada Akun “Nandha Dewi Makeupweddingart”")</f>
        <v>Peran Konten Sosial Media Instagram Dalam Keputusan Pemesanan Jasa Makeupartist (MUA) Pada Akun “Nandha Dewi Makeupweddingart”</v>
      </c>
      <c r="C943" s="7">
        <f>IFERROR(__xludf.DUMMYFUNCTION("""COMPUTED_VALUE"""),2025.0)</f>
        <v>2025</v>
      </c>
      <c r="D943" s="8" t="str">
        <f>IFERROR(__xludf.DUMMYFUNCTION("""COMPUTED_VALUE"""),"2024/2025")</f>
        <v>2024/2025</v>
      </c>
      <c r="E943" s="9">
        <f>IFERROR(__xludf.DUMMYFUNCTION("""COMPUTED_VALUE"""),45702.0)</f>
        <v>45702</v>
      </c>
      <c r="F943" s="5" t="str">
        <f>IFERROR(__xludf.DUMMYFUNCTION("""COMPUTED_VALUE"""),"Ganjil")</f>
        <v>Ganjil</v>
      </c>
      <c r="G943" s="5" t="str">
        <f>IFERROR(__xludf.DUMMYFUNCTION("""COMPUTED_VALUE"""),"Manajemen")</f>
        <v>Manajemen</v>
      </c>
      <c r="H943" s="10" t="str">
        <f>IFERROR(__xludf.DUMMYFUNCTION("""COMPUTED_VALUE"""),"Mahasiswa")</f>
        <v>Mahasiswa</v>
      </c>
      <c r="I943" s="6" t="str">
        <f>IFERROR(__xludf.DUMMYFUNCTION("""COMPUTED_VALUE"""),"Nanda Cholishoh Sumarno")</f>
        <v>Nanda Cholishoh Sumarno</v>
      </c>
      <c r="J943" s="6" t="str">
        <f>IFERROR(__xludf.DUMMYFUNCTION("""COMPUTED_VALUE"""),"Gilang Habib Azky Pratama")</f>
        <v>Gilang Habib Azky Pratama</v>
      </c>
      <c r="K943" s="6"/>
      <c r="L943" s="6"/>
      <c r="M943" s="6"/>
      <c r="N943" s="6"/>
      <c r="O943" s="6"/>
      <c r="P943" s="10" t="str">
        <f>IFERROR(__xludf.DUMMYFUNCTION("""COMPUTED_VALUE"""),"Nanda Cholishoh Sumarno, Gilang Habib Azky Pratama")</f>
        <v>Nanda Cholishoh Sumarno, Gilang Habib Azky Pratama</v>
      </c>
      <c r="Q943" s="11" t="str">
        <f>IFERROR(__xludf.DUMMYFUNCTION("""COMPUTED_VALUE"""),"https://repository.stiesurakarta.ac.id/submission/b40f8b61-4041-4e61-910a-f0428ac061a2")</f>
        <v>https://repository.stiesurakarta.ac.id/submission/b40f8b61-4041-4e61-910a-f0428ac061a2</v>
      </c>
      <c r="R943" s="6"/>
    </row>
    <row r="944">
      <c r="A944" s="5">
        <f>IFERROR(__xludf.DUMMYFUNCTION("""COMPUTED_VALUE"""),943.0)</f>
        <v>943</v>
      </c>
      <c r="B944" s="6" t="str">
        <f>IFERROR(__xludf.DUMMYFUNCTION("""COMPUTED_VALUE"""),"Metoda Penelitian Kualitatif Akuntansi Dan Manajemen")</f>
        <v>Metoda Penelitian Kualitatif Akuntansi Dan Manajemen</v>
      </c>
      <c r="C944" s="7">
        <f>IFERROR(__xludf.DUMMYFUNCTION("""COMPUTED_VALUE"""),2025.0)</f>
        <v>2025</v>
      </c>
      <c r="D944" s="8" t="str">
        <f>IFERROR(__xludf.DUMMYFUNCTION("""COMPUTED_VALUE"""),"2024/2025")</f>
        <v>2024/2025</v>
      </c>
      <c r="E944" s="9">
        <f>IFERROR(__xludf.DUMMYFUNCTION("""COMPUTED_VALUE"""),45705.0)</f>
        <v>45705</v>
      </c>
      <c r="F944" s="5" t="str">
        <f>IFERROR(__xludf.DUMMYFUNCTION("""COMPUTED_VALUE"""),"Ganjil")</f>
        <v>Ganjil</v>
      </c>
      <c r="G944" s="5" t="str">
        <f>IFERROR(__xludf.DUMMYFUNCTION("""COMPUTED_VALUE"""),"Manajemen")</f>
        <v>Manajemen</v>
      </c>
      <c r="H944" s="10" t="str">
        <f>IFERROR(__xludf.DUMMYFUNCTION("""COMPUTED_VALUE"""),"Dosen")</f>
        <v>Dosen</v>
      </c>
      <c r="I944" s="6" t="str">
        <f>IFERROR(__xludf.DUMMYFUNCTION("""COMPUTED_VALUE"""),"Ari Susanti")</f>
        <v>Ari Susanti</v>
      </c>
      <c r="J944" s="6"/>
      <c r="K944" s="6"/>
      <c r="L944" s="6"/>
      <c r="M944" s="6"/>
      <c r="N944" s="6"/>
      <c r="O944" s="6"/>
      <c r="P944" s="10"/>
      <c r="Q944" s="11" t="str">
        <f>IFERROR(__xludf.DUMMYFUNCTION("""COMPUTED_VALUE"""),"https://drive.google.com/open?id=1C193mKOAtCbhTNMznGYZLW9Vv_SrsWma&amp;usp=drive_copy")</f>
        <v>https://drive.google.com/open?id=1C193mKOAtCbhTNMznGYZLW9Vv_SrsWma&amp;usp=drive_copy</v>
      </c>
      <c r="R944" s="6"/>
    </row>
    <row r="945">
      <c r="A945" s="5">
        <f>IFERROR(__xludf.DUMMYFUNCTION("""COMPUTED_VALUE"""),944.0)</f>
        <v>944</v>
      </c>
      <c r="B945" s="6" t="str">
        <f>IFERROR(__xludf.DUMMYFUNCTION("""COMPUTED_VALUE"""),"Tingkat Pengetahuan, Efektivitas, dan Kepuasan Peserta Terhadap Penggunaan Aplikasi Mobile JKN di Wilayah Kantor Cabang (KC) Surakarta")</f>
        <v>Tingkat Pengetahuan, Efektivitas, dan Kepuasan Peserta Terhadap Penggunaan Aplikasi Mobile JKN di Wilayah Kantor Cabang (KC) Surakarta</v>
      </c>
      <c r="C945" s="7">
        <f>IFERROR(__xludf.DUMMYFUNCTION("""COMPUTED_VALUE"""),2025.0)</f>
        <v>2025</v>
      </c>
      <c r="D945" s="8" t="str">
        <f>IFERROR(__xludf.DUMMYFUNCTION("""COMPUTED_VALUE"""),"2024/2025")</f>
        <v>2024/2025</v>
      </c>
      <c r="E945" s="9">
        <f>IFERROR(__xludf.DUMMYFUNCTION("""COMPUTED_VALUE"""),45706.0)</f>
        <v>45706</v>
      </c>
      <c r="F945" s="5" t="str">
        <f>IFERROR(__xludf.DUMMYFUNCTION("""COMPUTED_VALUE"""),"Ganjil")</f>
        <v>Ganjil</v>
      </c>
      <c r="G945" s="5" t="str">
        <f>IFERROR(__xludf.DUMMYFUNCTION("""COMPUTED_VALUE"""),"Manajemen")</f>
        <v>Manajemen</v>
      </c>
      <c r="H945" s="10" t="str">
        <f>IFERROR(__xludf.DUMMYFUNCTION("""COMPUTED_VALUE"""),"Mahasiswa")</f>
        <v>Mahasiswa</v>
      </c>
      <c r="I945" s="6" t="str">
        <f>IFERROR(__xludf.DUMMYFUNCTION("""COMPUTED_VALUE"""),"Nia Tri Utami")</f>
        <v>Nia Tri Utami</v>
      </c>
      <c r="J945" s="6" t="str">
        <f>IFERROR(__xludf.DUMMYFUNCTION("""COMPUTED_VALUE"""),"Ari Susanti")</f>
        <v>Ari Susanti</v>
      </c>
      <c r="K945" s="6"/>
      <c r="L945" s="6"/>
      <c r="M945" s="6"/>
      <c r="N945" s="6"/>
      <c r="O945" s="6"/>
      <c r="P945" s="10" t="str">
        <f>IFERROR(__xludf.DUMMYFUNCTION("""COMPUTED_VALUE"""),"Nia Tri Utami, Ari Susanti")</f>
        <v>Nia Tri Utami, Ari Susanti</v>
      </c>
      <c r="Q945" s="11" t="str">
        <f>IFERROR(__xludf.DUMMYFUNCTION("""COMPUTED_VALUE"""),"https://repository.stiesurakarta.ac.id/submission/d94e1cce-e07f-46be-9e4a-29cad8377d6d")</f>
        <v>https://repository.stiesurakarta.ac.id/submission/d94e1cce-e07f-46be-9e4a-29cad8377d6d</v>
      </c>
      <c r="R945" s="6"/>
    </row>
    <row r="946">
      <c r="A946" s="5">
        <f>IFERROR(__xludf.DUMMYFUNCTION("""COMPUTED_VALUE"""),945.0)</f>
        <v>945</v>
      </c>
      <c r="B946" s="6" t="str">
        <f>IFERROR(__xludf.DUMMYFUNCTION("""COMPUTED_VALUE"""),"Pengaruh Kemudahan, Fitur Layanan, dan Promosi Terhadap Keputusan Menggunakan Aplikasi E-Wallet pada Masyarakat Soloraya")</f>
        <v>Pengaruh Kemudahan, Fitur Layanan, dan Promosi Terhadap Keputusan Menggunakan Aplikasi E-Wallet pada Masyarakat Soloraya</v>
      </c>
      <c r="C946" s="7">
        <f>IFERROR(__xludf.DUMMYFUNCTION("""COMPUTED_VALUE"""),2025.0)</f>
        <v>2025</v>
      </c>
      <c r="D946" s="8" t="str">
        <f>IFERROR(__xludf.DUMMYFUNCTION("""COMPUTED_VALUE"""),"2024/2025")</f>
        <v>2024/2025</v>
      </c>
      <c r="E946" s="9">
        <f>IFERROR(__xludf.DUMMYFUNCTION("""COMPUTED_VALUE"""),45706.0)</f>
        <v>45706</v>
      </c>
      <c r="F946" s="5" t="str">
        <f>IFERROR(__xludf.DUMMYFUNCTION("""COMPUTED_VALUE"""),"Ganjil")</f>
        <v>Ganjil</v>
      </c>
      <c r="G946" s="5" t="str">
        <f>IFERROR(__xludf.DUMMYFUNCTION("""COMPUTED_VALUE"""),"Manajemen")</f>
        <v>Manajemen</v>
      </c>
      <c r="H946" s="10" t="str">
        <f>IFERROR(__xludf.DUMMYFUNCTION("""COMPUTED_VALUE"""),"Mahasiswa")</f>
        <v>Mahasiswa</v>
      </c>
      <c r="I946" s="6" t="str">
        <f>IFERROR(__xludf.DUMMYFUNCTION("""COMPUTED_VALUE"""),"Balqis Sultana")</f>
        <v>Balqis Sultana</v>
      </c>
      <c r="J946" s="6" t="str">
        <f>IFERROR(__xludf.DUMMYFUNCTION("""COMPUTED_VALUE"""),"Ari Susanti")</f>
        <v>Ari Susanti</v>
      </c>
      <c r="K946" s="6"/>
      <c r="L946" s="6"/>
      <c r="M946" s="6"/>
      <c r="N946" s="6"/>
      <c r="O946" s="6"/>
      <c r="P946" s="10" t="str">
        <f>IFERROR(__xludf.DUMMYFUNCTION("""COMPUTED_VALUE"""),"Balqis Sultana, Ari Susanti")</f>
        <v>Balqis Sultana, Ari Susanti</v>
      </c>
      <c r="Q946" s="11" t="str">
        <f>IFERROR(__xludf.DUMMYFUNCTION("""COMPUTED_VALUE"""),"https://repository.stiesurakarta.ac.id/submission/6a591854-1132-428f-b403-1f41691ed676")</f>
        <v>https://repository.stiesurakarta.ac.id/submission/6a591854-1132-428f-b403-1f41691ed676</v>
      </c>
      <c r="R946" s="6"/>
    </row>
    <row r="947">
      <c r="A947" s="5">
        <f>IFERROR(__xludf.DUMMYFUNCTION("""COMPUTED_VALUE"""),946.0)</f>
        <v>946</v>
      </c>
      <c r="B947" s="6" t="str">
        <f>IFERROR(__xludf.DUMMYFUNCTION("""COMPUTED_VALUE"""),"Peningkatan Keputusan Pembelian Konsumen Melalui Promosi Live Streaming pada Aplikasi Tiktok Shop di Surakarta")</f>
        <v>Peningkatan Keputusan Pembelian Konsumen Melalui Promosi Live Streaming pada Aplikasi Tiktok Shop di Surakarta</v>
      </c>
      <c r="C947" s="7">
        <f>IFERROR(__xludf.DUMMYFUNCTION("""COMPUTED_VALUE"""),2025.0)</f>
        <v>2025</v>
      </c>
      <c r="D947" s="8" t="str">
        <f>IFERROR(__xludf.DUMMYFUNCTION("""COMPUTED_VALUE"""),"2024/2025")</f>
        <v>2024/2025</v>
      </c>
      <c r="E947" s="9">
        <f>IFERROR(__xludf.DUMMYFUNCTION("""COMPUTED_VALUE"""),45706.0)</f>
        <v>45706</v>
      </c>
      <c r="F947" s="5" t="str">
        <f>IFERROR(__xludf.DUMMYFUNCTION("""COMPUTED_VALUE"""),"Ganjil")</f>
        <v>Ganjil</v>
      </c>
      <c r="G947" s="5" t="str">
        <f>IFERROR(__xludf.DUMMYFUNCTION("""COMPUTED_VALUE"""),"Manajemen")</f>
        <v>Manajemen</v>
      </c>
      <c r="H947" s="10" t="str">
        <f>IFERROR(__xludf.DUMMYFUNCTION("""COMPUTED_VALUE"""),"Mahasiswa")</f>
        <v>Mahasiswa</v>
      </c>
      <c r="I947" s="6" t="str">
        <f>IFERROR(__xludf.DUMMYFUNCTION("""COMPUTED_VALUE"""),"Gezha Mutia Agogo")</f>
        <v>Gezha Mutia Agogo</v>
      </c>
      <c r="J947" s="6" t="str">
        <f>IFERROR(__xludf.DUMMYFUNCTION("""COMPUTED_VALUE"""),"Ari Susanti")</f>
        <v>Ari Susanti</v>
      </c>
      <c r="K947" s="6"/>
      <c r="L947" s="6"/>
      <c r="M947" s="6"/>
      <c r="N947" s="6"/>
      <c r="O947" s="6"/>
      <c r="P947" s="10" t="str">
        <f>IFERROR(__xludf.DUMMYFUNCTION("""COMPUTED_VALUE"""),"Gezha Mutia Agogo, Ari Susanti")</f>
        <v>Gezha Mutia Agogo, Ari Susanti</v>
      </c>
      <c r="Q947" s="11" t="str">
        <f>IFERROR(__xludf.DUMMYFUNCTION("""COMPUTED_VALUE"""),"https://repository.stiesurakarta.ac.id/submission/2ccf55af-a0b1-4210-b915-fabe9258de73")</f>
        <v>https://repository.stiesurakarta.ac.id/submission/2ccf55af-a0b1-4210-b915-fabe9258de73</v>
      </c>
      <c r="R947" s="6"/>
    </row>
    <row r="948">
      <c r="A948" s="5">
        <f>IFERROR(__xludf.DUMMYFUNCTION("""COMPUTED_VALUE"""),947.0)</f>
        <v>947</v>
      </c>
      <c r="B948" s="6" t="str">
        <f>IFERROR(__xludf.DUMMYFUNCTION("""COMPUTED_VALUE"""),"Pengaruh Tingkat Pendidikan, Pemahaman Akuntansi dan Tingkat Kesiapan Pelaku UMKM Terhadap Implementasi SAK EMKM (Studi Kasus pada UMKM di Kecamatan Wonogiri)")</f>
        <v>Pengaruh Tingkat Pendidikan, Pemahaman Akuntansi dan Tingkat Kesiapan Pelaku UMKM Terhadap Implementasi SAK EMKM (Studi Kasus pada UMKM di Kecamatan Wonogiri)</v>
      </c>
      <c r="C948" s="7">
        <f>IFERROR(__xludf.DUMMYFUNCTION("""COMPUTED_VALUE"""),2025.0)</f>
        <v>2025</v>
      </c>
      <c r="D948" s="8" t="str">
        <f>IFERROR(__xludf.DUMMYFUNCTION("""COMPUTED_VALUE"""),"2024/2025")</f>
        <v>2024/2025</v>
      </c>
      <c r="E948" s="9">
        <f>IFERROR(__xludf.DUMMYFUNCTION("""COMPUTED_VALUE"""),45708.0)</f>
        <v>45708</v>
      </c>
      <c r="F948" s="5" t="str">
        <f>IFERROR(__xludf.DUMMYFUNCTION("""COMPUTED_VALUE"""),"Ganjil")</f>
        <v>Ganjil</v>
      </c>
      <c r="G948" s="5" t="str">
        <f>IFERROR(__xludf.DUMMYFUNCTION("""COMPUTED_VALUE"""),"Akuntansi")</f>
        <v>Akuntansi</v>
      </c>
      <c r="H948" s="10" t="str">
        <f>IFERROR(__xludf.DUMMYFUNCTION("""COMPUTED_VALUE"""),"Mahasiswa")</f>
        <v>Mahasiswa</v>
      </c>
      <c r="I948" s="6" t="str">
        <f>IFERROR(__xludf.DUMMYFUNCTION("""COMPUTED_VALUE"""),"Eli Maria Widawati")</f>
        <v>Eli Maria Widawati</v>
      </c>
      <c r="J948" s="6" t="str">
        <f>IFERROR(__xludf.DUMMYFUNCTION("""COMPUTED_VALUE"""),"Arif Nugroho Rachman")</f>
        <v>Arif Nugroho Rachman</v>
      </c>
      <c r="K948" s="6"/>
      <c r="L948" s="6"/>
      <c r="M948" s="6"/>
      <c r="N948" s="6"/>
      <c r="O948" s="6"/>
      <c r="P948" s="10" t="str">
        <f>IFERROR(__xludf.DUMMYFUNCTION("""COMPUTED_VALUE"""),"Eli Maria Widawati, Arif Nugroho Rachman")</f>
        <v>Eli Maria Widawati, Arif Nugroho Rachman</v>
      </c>
      <c r="Q948" s="11" t="str">
        <f>IFERROR(__xludf.DUMMYFUNCTION("""COMPUTED_VALUE"""),"https://repository.stiesurakarta.ac.id/submission/fc68987a-a7ca-459e-8c23-d29e11773f84")</f>
        <v>https://repository.stiesurakarta.ac.id/submission/fc68987a-a7ca-459e-8c23-d29e11773f84</v>
      </c>
      <c r="R948" s="6"/>
    </row>
    <row r="949">
      <c r="A949" s="5">
        <f>IFERROR(__xludf.DUMMYFUNCTION("""COMPUTED_VALUE"""),948.0)</f>
        <v>948</v>
      </c>
      <c r="B949" s="6" t="str">
        <f>IFERROR(__xludf.DUMMYFUNCTION("""COMPUTED_VALUE"""),"Analisis Penerapan Tarif Efektif Rata- Rata (TER) pada Pajak Penghasilan Pasal 21 dalam Peraturan Pemerintah Nomor 58 Tahun 2023 (Studi Kasus pada PT. Medikaloka Wonogiri)")</f>
        <v>Analisis Penerapan Tarif Efektif Rata- Rata (TER) pada Pajak Penghasilan Pasal 21 dalam Peraturan Pemerintah Nomor 58 Tahun 2023 (Studi Kasus pada PT. Medikaloka Wonogiri)</v>
      </c>
      <c r="C949" s="7">
        <f>IFERROR(__xludf.DUMMYFUNCTION("""COMPUTED_VALUE"""),2025.0)</f>
        <v>2025</v>
      </c>
      <c r="D949" s="8" t="str">
        <f>IFERROR(__xludf.DUMMYFUNCTION("""COMPUTED_VALUE"""),"2024/2025")</f>
        <v>2024/2025</v>
      </c>
      <c r="E949" s="9">
        <f>IFERROR(__xludf.DUMMYFUNCTION("""COMPUTED_VALUE"""),45710.0)</f>
        <v>45710</v>
      </c>
      <c r="F949" s="5" t="str">
        <f>IFERROR(__xludf.DUMMYFUNCTION("""COMPUTED_VALUE"""),"Ganjil")</f>
        <v>Ganjil</v>
      </c>
      <c r="G949" s="5" t="str">
        <f>IFERROR(__xludf.DUMMYFUNCTION("""COMPUTED_VALUE"""),"Akuntansi")</f>
        <v>Akuntansi</v>
      </c>
      <c r="H949" s="10" t="str">
        <f>IFERROR(__xludf.DUMMYFUNCTION("""COMPUTED_VALUE"""),"Mahasiswa")</f>
        <v>Mahasiswa</v>
      </c>
      <c r="I949" s="6" t="str">
        <f>IFERROR(__xludf.DUMMYFUNCTION("""COMPUTED_VALUE"""),"Yayan Purnama Sari")</f>
        <v>Yayan Purnama Sari</v>
      </c>
      <c r="J949" s="6" t="str">
        <f>IFERROR(__xludf.DUMMYFUNCTION("""COMPUTED_VALUE"""),"Era Trianita Saputra")</f>
        <v>Era Trianita Saputra</v>
      </c>
      <c r="K949" s="6"/>
      <c r="L949" s="6"/>
      <c r="M949" s="6"/>
      <c r="N949" s="6"/>
      <c r="O949" s="6"/>
      <c r="P949" s="10" t="str">
        <f>IFERROR(__xludf.DUMMYFUNCTION("""COMPUTED_VALUE"""),"Yayan Purnama Sari, Era Trianita Saputra")</f>
        <v>Yayan Purnama Sari, Era Trianita Saputra</v>
      </c>
      <c r="Q949" s="11" t="str">
        <f>IFERROR(__xludf.DUMMYFUNCTION("""COMPUTED_VALUE"""),"https://ejurnal.politeknikpratama.ac.id/index.php/jekombis/article/view/4866")</f>
        <v>https://ejurnal.politeknikpratama.ac.id/index.php/jekombis/article/view/4866</v>
      </c>
      <c r="R949" s="6"/>
    </row>
    <row r="950">
      <c r="A950" s="5">
        <f>IFERROR(__xludf.DUMMYFUNCTION("""COMPUTED_VALUE"""),949.0)</f>
        <v>949</v>
      </c>
      <c r="B950" s="6" t="str">
        <f>IFERROR(__xludf.DUMMYFUNCTION("""COMPUTED_VALUE"""),"Mini Review on Knowledge Management in Higher Education Challenges and Strategies for Effective Implementation")</f>
        <v>Mini Review on Knowledge Management in Higher Education Challenges and Strategies for Effective Implementation</v>
      </c>
      <c r="C950" s="7">
        <f>IFERROR(__xludf.DUMMYFUNCTION("""COMPUTED_VALUE"""),2025.0)</f>
        <v>2025</v>
      </c>
      <c r="D950" s="8" t="str">
        <f>IFERROR(__xludf.DUMMYFUNCTION("""COMPUTED_VALUE"""),"2024/2025")</f>
        <v>2024/2025</v>
      </c>
      <c r="E950" s="9">
        <f>IFERROR(__xludf.DUMMYFUNCTION("""COMPUTED_VALUE"""),45711.0)</f>
        <v>45711</v>
      </c>
      <c r="F950" s="5" t="str">
        <f>IFERROR(__xludf.DUMMYFUNCTION("""COMPUTED_VALUE"""),"Ganjil")</f>
        <v>Ganjil</v>
      </c>
      <c r="G950" s="5" t="str">
        <f>IFERROR(__xludf.DUMMYFUNCTION("""COMPUTED_VALUE"""),"Manajemen")</f>
        <v>Manajemen</v>
      </c>
      <c r="H950" s="10" t="str">
        <f>IFERROR(__xludf.DUMMYFUNCTION("""COMPUTED_VALUE"""),"Dosen")</f>
        <v>Dosen</v>
      </c>
      <c r="I950" s="6" t="str">
        <f>IFERROR(__xludf.DUMMYFUNCTION("""COMPUTED_VALUE"""),"Muhammad Syihabuddin")</f>
        <v>Muhammad Syihabuddin</v>
      </c>
      <c r="J950" s="6" t="str">
        <f>IFERROR(__xludf.DUMMYFUNCTION("""COMPUTED_VALUE"""),"Nadia A. Suraj")</f>
        <v>Nadia A. Suraj</v>
      </c>
      <c r="K950" s="6" t="str">
        <f>IFERROR(__xludf.DUMMYFUNCTION("""COMPUTED_VALUE"""),"Selangan E. Hyldgaard")</f>
        <v>Selangan E. Hyldgaard</v>
      </c>
      <c r="L950" s="6" t="str">
        <f>IFERROR(__xludf.DUMMYFUNCTION("""COMPUTED_VALUE"""),"Nisha Kainth")</f>
        <v>Nisha Kainth</v>
      </c>
      <c r="M950" s="6"/>
      <c r="N950" s="6"/>
      <c r="O950" s="6"/>
      <c r="P950" s="10"/>
      <c r="Q950" s="11" t="str">
        <f>IFERROR(__xludf.DUMMYFUNCTION("""COMPUTED_VALUE"""),"https://jurnal.tintaemas.id/index.php/sehati/article/view/466")</f>
        <v>https://jurnal.tintaemas.id/index.php/sehati/article/view/466</v>
      </c>
      <c r="R950" s="6"/>
    </row>
    <row r="951">
      <c r="A951" s="5">
        <f>IFERROR(__xludf.DUMMYFUNCTION("""COMPUTED_VALUE"""),950.0)</f>
        <v>950</v>
      </c>
      <c r="B951" s="6" t="str">
        <f>IFERROR(__xludf.DUMMYFUNCTION("""COMPUTED_VALUE"""),"Analyzing the Determinants of Audit Report Lag: The Role of Earning Volatility, Audit Quality, and Auditor Industry Specialization")</f>
        <v>Analyzing the Determinants of Audit Report Lag: The Role of Earning Volatility, Audit Quality, and Auditor Industry Specialization</v>
      </c>
      <c r="C951" s="7">
        <f>IFERROR(__xludf.DUMMYFUNCTION("""COMPUTED_VALUE"""),2025.0)</f>
        <v>2025</v>
      </c>
      <c r="D951" s="8" t="str">
        <f>IFERROR(__xludf.DUMMYFUNCTION("""COMPUTED_VALUE"""),"2024/2025")</f>
        <v>2024/2025</v>
      </c>
      <c r="E951" s="9">
        <f>IFERROR(__xludf.DUMMYFUNCTION("""COMPUTED_VALUE"""),45711.0)</f>
        <v>45711</v>
      </c>
      <c r="F951" s="5" t="str">
        <f>IFERROR(__xludf.DUMMYFUNCTION("""COMPUTED_VALUE"""),"Ganjil")</f>
        <v>Ganjil</v>
      </c>
      <c r="G951" s="5" t="str">
        <f>IFERROR(__xludf.DUMMYFUNCTION("""COMPUTED_VALUE"""),"Akuntansi")</f>
        <v>Akuntansi</v>
      </c>
      <c r="H951" s="10" t="str">
        <f>IFERROR(__xludf.DUMMYFUNCTION("""COMPUTED_VALUE"""),"Dosen")</f>
        <v>Dosen</v>
      </c>
      <c r="I951" s="6" t="str">
        <f>IFERROR(__xludf.DUMMYFUNCTION("""COMPUTED_VALUE"""),"Dika Puspitaningrum")</f>
        <v>Dika Puspitaningrum</v>
      </c>
      <c r="J951" s="6"/>
      <c r="K951" s="6"/>
      <c r="L951" s="6"/>
      <c r="M951" s="6"/>
      <c r="N951" s="6"/>
      <c r="O951" s="6"/>
      <c r="P951" s="10"/>
      <c r="Q951" s="11" t="str">
        <f>IFERROR(__xludf.DUMMYFUNCTION("""COMPUTED_VALUE"""),"https://jurnal.tintaemas.id/index.php/sehati/article/view/465")</f>
        <v>https://jurnal.tintaemas.id/index.php/sehati/article/view/465</v>
      </c>
      <c r="R951" s="6"/>
    </row>
    <row r="952">
      <c r="A952" s="5">
        <f>IFERROR(__xludf.DUMMYFUNCTION("""COMPUTED_VALUE"""),951.0)</f>
        <v>951</v>
      </c>
      <c r="B952" s="6" t="str">
        <f>IFERROR(__xludf.DUMMYFUNCTION("""COMPUTED_VALUE"""),"Analisis Strategi Pemasaran Konten Sosial Media Instagram Dalam Peningkatkan Brand Awareness dan Reputasi Abata Wedding Organizer Solo")</f>
        <v>Analisis Strategi Pemasaran Konten Sosial Media Instagram Dalam Peningkatkan Brand Awareness dan Reputasi Abata Wedding Organizer Solo</v>
      </c>
      <c r="C952" s="7">
        <f>IFERROR(__xludf.DUMMYFUNCTION("""COMPUTED_VALUE"""),2025.0)</f>
        <v>2025</v>
      </c>
      <c r="D952" s="8" t="str">
        <f>IFERROR(__xludf.DUMMYFUNCTION("""COMPUTED_VALUE"""),"2024/2025")</f>
        <v>2024/2025</v>
      </c>
      <c r="E952" s="9">
        <f>IFERROR(__xludf.DUMMYFUNCTION("""COMPUTED_VALUE"""),45714.0)</f>
        <v>45714</v>
      </c>
      <c r="F952" s="5" t="str">
        <f>IFERROR(__xludf.DUMMYFUNCTION("""COMPUTED_VALUE"""),"Ganjil")</f>
        <v>Ganjil</v>
      </c>
      <c r="G952" s="5" t="str">
        <f>IFERROR(__xludf.DUMMYFUNCTION("""COMPUTED_VALUE"""),"Manajemen")</f>
        <v>Manajemen</v>
      </c>
      <c r="H952" s="10" t="str">
        <f>IFERROR(__xludf.DUMMYFUNCTION("""COMPUTED_VALUE"""),"Mahasiswa")</f>
        <v>Mahasiswa</v>
      </c>
      <c r="I952" s="6" t="str">
        <f>IFERROR(__xludf.DUMMYFUNCTION("""COMPUTED_VALUE"""),"Listia Dewi Anggraeni,")</f>
        <v>Listia Dewi Anggraeni,</v>
      </c>
      <c r="J952" s="6" t="str">
        <f>IFERROR(__xludf.DUMMYFUNCTION("""COMPUTED_VALUE"""),"Gilang Habib Azky Pratama")</f>
        <v>Gilang Habib Azky Pratama</v>
      </c>
      <c r="K952" s="6"/>
      <c r="L952" s="6"/>
      <c r="M952" s="6"/>
      <c r="N952" s="6"/>
      <c r="O952" s="6"/>
      <c r="P952" s="10" t="str">
        <f>IFERROR(__xludf.DUMMYFUNCTION("""COMPUTED_VALUE"""),"Listia Dewi Anggraeni,, Gilang Habib Azky Pratama")</f>
        <v>Listia Dewi Anggraeni,, Gilang Habib Azky Pratama</v>
      </c>
      <c r="Q952" s="11" t="str">
        <f>IFERROR(__xludf.DUMMYFUNCTION("""COMPUTED_VALUE"""),"https://repository.stiesurakarta.ac.id/submission/1d5e0bb5-c84c-4ec2-a1bc-d1f047a81d66")</f>
        <v>https://repository.stiesurakarta.ac.id/submission/1d5e0bb5-c84c-4ec2-a1bc-d1f047a81d66</v>
      </c>
      <c r="R952" s="6"/>
    </row>
    <row r="953">
      <c r="A953" s="5">
        <f>IFERROR(__xludf.DUMMYFUNCTION("""COMPUTED_VALUE"""),952.0)</f>
        <v>952</v>
      </c>
      <c r="B953" s="6" t="str">
        <f>IFERROR(__xludf.DUMMYFUNCTION("""COMPUTED_VALUE"""),"Pengaruh Kemudahan Pengguna, Fitur Layanan dan Kepercayaan Dalam Keputusan Pembelian Pada Platform Online Perum Bulog Surakarta")</f>
        <v>Pengaruh Kemudahan Pengguna, Fitur Layanan dan Kepercayaan Dalam Keputusan Pembelian Pada Platform Online Perum Bulog Surakarta</v>
      </c>
      <c r="C953" s="7">
        <f>IFERROR(__xludf.DUMMYFUNCTION("""COMPUTED_VALUE"""),2025.0)</f>
        <v>2025</v>
      </c>
      <c r="D953" s="8" t="str">
        <f>IFERROR(__xludf.DUMMYFUNCTION("""COMPUTED_VALUE"""),"2024/2025")</f>
        <v>2024/2025</v>
      </c>
      <c r="E953" s="9">
        <f>IFERROR(__xludf.DUMMYFUNCTION("""COMPUTED_VALUE"""),45714.0)</f>
        <v>45714</v>
      </c>
      <c r="F953" s="5" t="str">
        <f>IFERROR(__xludf.DUMMYFUNCTION("""COMPUTED_VALUE"""),"Ganjil")</f>
        <v>Ganjil</v>
      </c>
      <c r="G953" s="5" t="str">
        <f>IFERROR(__xludf.DUMMYFUNCTION("""COMPUTED_VALUE"""),"Manajemen")</f>
        <v>Manajemen</v>
      </c>
      <c r="H953" s="10" t="str">
        <f>IFERROR(__xludf.DUMMYFUNCTION("""COMPUTED_VALUE"""),"Mahasiswa")</f>
        <v>Mahasiswa</v>
      </c>
      <c r="I953" s="6" t="str">
        <f>IFERROR(__xludf.DUMMYFUNCTION("""COMPUTED_VALUE"""),"Arfian Prastyo")</f>
        <v>Arfian Prastyo</v>
      </c>
      <c r="J953" s="6" t="str">
        <f>IFERROR(__xludf.DUMMYFUNCTION("""COMPUTED_VALUE"""),"Ari Susanti")</f>
        <v>Ari Susanti</v>
      </c>
      <c r="K953" s="6"/>
      <c r="L953" s="6"/>
      <c r="M953" s="6"/>
      <c r="N953" s="6"/>
      <c r="O953" s="6"/>
      <c r="P953" s="10" t="str">
        <f>IFERROR(__xludf.DUMMYFUNCTION("""COMPUTED_VALUE"""),"Arfian Prastyo, Ari Susanti")</f>
        <v>Arfian Prastyo, Ari Susanti</v>
      </c>
      <c r="Q953" s="11" t="str">
        <f>IFERROR(__xludf.DUMMYFUNCTION("""COMPUTED_VALUE"""),"https://repository.stiesurakarta.ac.id/submission/293348d1-cdc5-44e6-9122-d51d51670f30")</f>
        <v>https://repository.stiesurakarta.ac.id/submission/293348d1-cdc5-44e6-9122-d51d51670f30</v>
      </c>
      <c r="R953" s="6"/>
    </row>
    <row r="954">
      <c r="A954" s="5">
        <f>IFERROR(__xludf.DUMMYFUNCTION("""COMPUTED_VALUE"""),953.0)</f>
        <v>953</v>
      </c>
      <c r="B954" s="6" t="str">
        <f>IFERROR(__xludf.DUMMYFUNCTION("""COMPUTED_VALUE"""),"Peran Strategi Media Sosial Upaya Menguatkan Brand Awareness dan Meningkatkan Penjualan Mobil Merek Suzuki di Solo Raya")</f>
        <v>Peran Strategi Media Sosial Upaya Menguatkan Brand Awareness dan Meningkatkan Penjualan Mobil Merek Suzuki di Solo Raya</v>
      </c>
      <c r="C954" s="7">
        <f>IFERROR(__xludf.DUMMYFUNCTION("""COMPUTED_VALUE"""),2025.0)</f>
        <v>2025</v>
      </c>
      <c r="D954" s="8" t="str">
        <f>IFERROR(__xludf.DUMMYFUNCTION("""COMPUTED_VALUE"""),"2024/2025")</f>
        <v>2024/2025</v>
      </c>
      <c r="E954" s="9">
        <f>IFERROR(__xludf.DUMMYFUNCTION("""COMPUTED_VALUE"""),45714.0)</f>
        <v>45714</v>
      </c>
      <c r="F954" s="5" t="str">
        <f>IFERROR(__xludf.DUMMYFUNCTION("""COMPUTED_VALUE"""),"Ganjil")</f>
        <v>Ganjil</v>
      </c>
      <c r="G954" s="5" t="str">
        <f>IFERROR(__xludf.DUMMYFUNCTION("""COMPUTED_VALUE"""),"Manajemen")</f>
        <v>Manajemen</v>
      </c>
      <c r="H954" s="10" t="str">
        <f>IFERROR(__xludf.DUMMYFUNCTION("""COMPUTED_VALUE"""),"Mahasiswa")</f>
        <v>Mahasiswa</v>
      </c>
      <c r="I954" s="6" t="str">
        <f>IFERROR(__xludf.DUMMYFUNCTION("""COMPUTED_VALUE"""),"Adittio")</f>
        <v>Adittio</v>
      </c>
      <c r="J954" s="6" t="str">
        <f>IFERROR(__xludf.DUMMYFUNCTION("""COMPUTED_VALUE"""),"Gilang Habib Azky Pratama")</f>
        <v>Gilang Habib Azky Pratama</v>
      </c>
      <c r="K954" s="6"/>
      <c r="L954" s="6"/>
      <c r="M954" s="6"/>
      <c r="N954" s="6"/>
      <c r="O954" s="6"/>
      <c r="P954" s="10" t="str">
        <f>IFERROR(__xludf.DUMMYFUNCTION("""COMPUTED_VALUE"""),"Adittio, Gilang Habib Azky Pratama")</f>
        <v>Adittio, Gilang Habib Azky Pratama</v>
      </c>
      <c r="Q954" s="11" t="str">
        <f>IFERROR(__xludf.DUMMYFUNCTION("""COMPUTED_VALUE"""),"https://repository.stiesurakarta.ac.id/submission/14267d1b-6322-48c3-b370-f12d0ee5ba16")</f>
        <v>https://repository.stiesurakarta.ac.id/submission/14267d1b-6322-48c3-b370-f12d0ee5ba16</v>
      </c>
      <c r="R954" s="6"/>
    </row>
    <row r="955">
      <c r="A955" s="5">
        <f>IFERROR(__xludf.DUMMYFUNCTION("""COMPUTED_VALUE"""),954.0)</f>
        <v>954</v>
      </c>
      <c r="B955" s="6" t="str">
        <f>IFERROR(__xludf.DUMMYFUNCTION("""COMPUTED_VALUE"""),"Efektivitas Pelayanan Publik Bidang Administrasi Perizinan Di Balai Pengelolaan Jalan Wilayah Surakarta")</f>
        <v>Efektivitas Pelayanan Publik Bidang Administrasi Perizinan Di Balai Pengelolaan Jalan Wilayah Surakarta</v>
      </c>
      <c r="C955" s="7">
        <f>IFERROR(__xludf.DUMMYFUNCTION("""COMPUTED_VALUE"""),2025.0)</f>
        <v>2025</v>
      </c>
      <c r="D955" s="8" t="str">
        <f>IFERROR(__xludf.DUMMYFUNCTION("""COMPUTED_VALUE"""),"2024/2025")</f>
        <v>2024/2025</v>
      </c>
      <c r="E955" s="9">
        <f>IFERROR(__xludf.DUMMYFUNCTION("""COMPUTED_VALUE"""),45714.0)</f>
        <v>45714</v>
      </c>
      <c r="F955" s="5" t="str">
        <f>IFERROR(__xludf.DUMMYFUNCTION("""COMPUTED_VALUE"""),"Ganjil")</f>
        <v>Ganjil</v>
      </c>
      <c r="G955" s="5" t="str">
        <f>IFERROR(__xludf.DUMMYFUNCTION("""COMPUTED_VALUE"""),"Manajemen")</f>
        <v>Manajemen</v>
      </c>
      <c r="H955" s="10" t="str">
        <f>IFERROR(__xludf.DUMMYFUNCTION("""COMPUTED_VALUE"""),"Mahasiswa")</f>
        <v>Mahasiswa</v>
      </c>
      <c r="I955" s="6" t="str">
        <f>IFERROR(__xludf.DUMMYFUNCTION("""COMPUTED_VALUE"""),"Farhan Rizqi fauzi")</f>
        <v>Farhan Rizqi fauzi</v>
      </c>
      <c r="J955" s="6" t="str">
        <f>IFERROR(__xludf.DUMMYFUNCTION("""COMPUTED_VALUE"""),"Ari Susanti")</f>
        <v>Ari Susanti</v>
      </c>
      <c r="K955" s="6"/>
      <c r="L955" s="6"/>
      <c r="M955" s="6"/>
      <c r="N955" s="6"/>
      <c r="O955" s="6"/>
      <c r="P955" s="10" t="str">
        <f>IFERROR(__xludf.DUMMYFUNCTION("""COMPUTED_VALUE"""),"Farhan Rizqi fauzi, Ari Susanti")</f>
        <v>Farhan Rizqi fauzi, Ari Susanti</v>
      </c>
      <c r="Q955" s="11" t="str">
        <f>IFERROR(__xludf.DUMMYFUNCTION("""COMPUTED_VALUE"""),"https://repository.stiesurakarta.ac.id/submission/772ab8d1-16da-44b2-8a6a-380525f9974c")</f>
        <v>https://repository.stiesurakarta.ac.id/submission/772ab8d1-16da-44b2-8a6a-380525f9974c</v>
      </c>
      <c r="R955" s="6"/>
    </row>
    <row r="956">
      <c r="A956" s="5">
        <f>IFERROR(__xludf.DUMMYFUNCTION("""COMPUTED_VALUE"""),955.0)</f>
        <v>955</v>
      </c>
      <c r="B956" s="6" t="str">
        <f>IFERROR(__xludf.DUMMYFUNCTION("""COMPUTED_VALUE"""),"PERAN MEDIA SOSIAL INSTAGRAM SEBAGAI MEDIA PROMOSI MAKANAN PENUTUP MANIS KEKINIAN DI SOLO RAYA")</f>
        <v>PERAN MEDIA SOSIAL INSTAGRAM SEBAGAI MEDIA PROMOSI MAKANAN PENUTUP MANIS KEKINIAN DI SOLO RAYA</v>
      </c>
      <c r="C956" s="7">
        <f>IFERROR(__xludf.DUMMYFUNCTION("""COMPUTED_VALUE"""),2025.0)</f>
        <v>2025</v>
      </c>
      <c r="D956" s="8" t="str">
        <f>IFERROR(__xludf.DUMMYFUNCTION("""COMPUTED_VALUE"""),"2024/2025")</f>
        <v>2024/2025</v>
      </c>
      <c r="E956" s="9">
        <f>IFERROR(__xludf.DUMMYFUNCTION("""COMPUTED_VALUE"""),45714.0)</f>
        <v>45714</v>
      </c>
      <c r="F956" s="5" t="str">
        <f>IFERROR(__xludf.DUMMYFUNCTION("""COMPUTED_VALUE"""),"Ganjil")</f>
        <v>Ganjil</v>
      </c>
      <c r="G956" s="5" t="str">
        <f>IFERROR(__xludf.DUMMYFUNCTION("""COMPUTED_VALUE"""),"Manajemen")</f>
        <v>Manajemen</v>
      </c>
      <c r="H956" s="10" t="str">
        <f>IFERROR(__xludf.DUMMYFUNCTION("""COMPUTED_VALUE"""),"Mahasiswa")</f>
        <v>Mahasiswa</v>
      </c>
      <c r="I956" s="6" t="str">
        <f>IFERROR(__xludf.DUMMYFUNCTION("""COMPUTED_VALUE"""),"Rina Ashar Supriyati")</f>
        <v>Rina Ashar Supriyati</v>
      </c>
      <c r="J956" s="6" t="str">
        <f>IFERROR(__xludf.DUMMYFUNCTION("""COMPUTED_VALUE"""),"Budi istiyanto")</f>
        <v>Budi istiyanto</v>
      </c>
      <c r="K956" s="6"/>
      <c r="L956" s="6"/>
      <c r="M956" s="6"/>
      <c r="N956" s="6"/>
      <c r="O956" s="6"/>
      <c r="P956" s="10" t="str">
        <f>IFERROR(__xludf.DUMMYFUNCTION("""COMPUTED_VALUE"""),"Rina Ashar Supriyati, Budi istiyanto")</f>
        <v>Rina Ashar Supriyati, Budi istiyanto</v>
      </c>
      <c r="Q956" s="11" t="str">
        <f>IFERROR(__xludf.DUMMYFUNCTION("""COMPUTED_VALUE"""),"https://ejurnal.kampusakademik.co.id/index.php/jiem/article/view/4111/version/4111")</f>
        <v>https://ejurnal.kampusakademik.co.id/index.php/jiem/article/view/4111/version/4111</v>
      </c>
      <c r="R956" s="6"/>
    </row>
    <row r="957">
      <c r="A957" s="5">
        <f>IFERROR(__xludf.DUMMYFUNCTION("""COMPUTED_VALUE"""),956.0)</f>
        <v>956</v>
      </c>
      <c r="B957" s="6" t="str">
        <f>IFERROR(__xludf.DUMMYFUNCTION("""COMPUTED_VALUE"""),"Analisis Faktor - Faktor Yang Mempengaruhi Sistem Informasi Akuntansi Pada PT. Sari Warna Asli Unit 1")</f>
        <v>Analisis Faktor - Faktor Yang Mempengaruhi Sistem Informasi Akuntansi Pada PT. Sari Warna Asli Unit 1</v>
      </c>
      <c r="C957" s="7">
        <f>IFERROR(__xludf.DUMMYFUNCTION("""COMPUTED_VALUE"""),2025.0)</f>
        <v>2025</v>
      </c>
      <c r="D957" s="8" t="str">
        <f>IFERROR(__xludf.DUMMYFUNCTION("""COMPUTED_VALUE"""),"2024/2025")</f>
        <v>2024/2025</v>
      </c>
      <c r="E957" s="9">
        <f>IFERROR(__xludf.DUMMYFUNCTION("""COMPUTED_VALUE"""),45717.0)</f>
        <v>45717</v>
      </c>
      <c r="F957" s="5" t="str">
        <f>IFERROR(__xludf.DUMMYFUNCTION("""COMPUTED_VALUE"""),"Ganjil")</f>
        <v>Ganjil</v>
      </c>
      <c r="G957" s="5" t="str">
        <f>IFERROR(__xludf.DUMMYFUNCTION("""COMPUTED_VALUE"""),"Akuntansi")</f>
        <v>Akuntansi</v>
      </c>
      <c r="H957" s="10" t="str">
        <f>IFERROR(__xludf.DUMMYFUNCTION("""COMPUTED_VALUE"""),"Mahasiswa")</f>
        <v>Mahasiswa</v>
      </c>
      <c r="I957" s="6" t="str">
        <f>IFERROR(__xludf.DUMMYFUNCTION("""COMPUTED_VALUE"""),"Elisabeth Ade Prihartanti")</f>
        <v>Elisabeth Ade Prihartanti</v>
      </c>
      <c r="J957" s="6" t="str">
        <f>IFERROR(__xludf.DUMMYFUNCTION("""COMPUTED_VALUE"""),"Ismunawan")</f>
        <v>Ismunawan</v>
      </c>
      <c r="K957" s="6"/>
      <c r="L957" s="6"/>
      <c r="M957" s="6"/>
      <c r="N957" s="6"/>
      <c r="O957" s="6"/>
      <c r="P957" s="10" t="str">
        <f>IFERROR(__xludf.DUMMYFUNCTION("""COMPUTED_VALUE"""),"Elisabeth Ade Prihartanti, Ismunawan")</f>
        <v>Elisabeth Ade Prihartanti, Ismunawan</v>
      </c>
      <c r="Q957" s="11" t="str">
        <f>IFERROR(__xludf.DUMMYFUNCTION("""COMPUTED_VALUE"""),"https://ejurnals.com/ojs/index.php/jmam/article/view/1530")</f>
        <v>https://ejurnals.com/ojs/index.php/jmam/article/view/1530</v>
      </c>
      <c r="R957" s="6"/>
    </row>
    <row r="958">
      <c r="A958" s="5">
        <f>IFERROR(__xludf.DUMMYFUNCTION("""COMPUTED_VALUE"""),957.0)</f>
        <v>957</v>
      </c>
      <c r="B958" s="6" t="str">
        <f>IFERROR(__xludf.DUMMYFUNCTION("""COMPUTED_VALUE"""),"Pengaruh Uang Saku, Literasi Keuangan, Perilaku Keuangan terhadap Keputusan Investasi")</f>
        <v>Pengaruh Uang Saku, Literasi Keuangan, Perilaku Keuangan terhadap Keputusan Investasi</v>
      </c>
      <c r="C958" s="7">
        <f>IFERROR(__xludf.DUMMYFUNCTION("""COMPUTED_VALUE"""),2025.0)</f>
        <v>2025</v>
      </c>
      <c r="D958" s="8" t="str">
        <f>IFERROR(__xludf.DUMMYFUNCTION("""COMPUTED_VALUE"""),"2024/2025")</f>
        <v>2024/2025</v>
      </c>
      <c r="E958" s="9">
        <f>IFERROR(__xludf.DUMMYFUNCTION("""COMPUTED_VALUE"""),45719.0)</f>
        <v>45719</v>
      </c>
      <c r="F958" s="5" t="str">
        <f>IFERROR(__xludf.DUMMYFUNCTION("""COMPUTED_VALUE"""),"Genap")</f>
        <v>Genap</v>
      </c>
      <c r="G958" s="5" t="str">
        <f>IFERROR(__xludf.DUMMYFUNCTION("""COMPUTED_VALUE"""),"Akuntansi")</f>
        <v>Akuntansi</v>
      </c>
      <c r="H958" s="10" t="str">
        <f>IFERROR(__xludf.DUMMYFUNCTION("""COMPUTED_VALUE"""),"Mahasiswa")</f>
        <v>Mahasiswa</v>
      </c>
      <c r="I958" s="6" t="str">
        <f>IFERROR(__xludf.DUMMYFUNCTION("""COMPUTED_VALUE"""),"Febryana Vinky Hernanda")</f>
        <v>Febryana Vinky Hernanda</v>
      </c>
      <c r="J958" s="6" t="str">
        <f>IFERROR(__xludf.DUMMYFUNCTION("""COMPUTED_VALUE"""),"Era Trianita Saputra")</f>
        <v>Era Trianita Saputra</v>
      </c>
      <c r="K958" s="6"/>
      <c r="L958" s="6"/>
      <c r="M958" s="6"/>
      <c r="N958" s="6"/>
      <c r="O958" s="6"/>
      <c r="P958" s="10" t="str">
        <f>IFERROR(__xludf.DUMMYFUNCTION("""COMPUTED_VALUE"""),"Febryana Vinky Hernanda, Era Trianita Saputra")</f>
        <v>Febryana Vinky Hernanda, Era Trianita Saputra</v>
      </c>
      <c r="Q958" s="11" t="str">
        <f>IFERROR(__xludf.DUMMYFUNCTION("""COMPUTED_VALUE"""),"https://jurnal.ugm.ac.id/abis/article/view/104164")</f>
        <v>https://jurnal.ugm.ac.id/abis/article/view/104164</v>
      </c>
      <c r="R958" s="6"/>
    </row>
    <row r="959">
      <c r="A959" s="5">
        <f>IFERROR(__xludf.DUMMYFUNCTION("""COMPUTED_VALUE"""),958.0)</f>
        <v>958</v>
      </c>
      <c r="B959" s="6" t="str">
        <f>IFERROR(__xludf.DUMMYFUNCTION("""COMPUTED_VALUE"""),"Analisis Persepsi dan Kepuasan Terhadap Penggunaan Aplikasi Dompet Digital (E-Wallet) di Soloraya")</f>
        <v>Analisis Persepsi dan Kepuasan Terhadap Penggunaan Aplikasi Dompet Digital (E-Wallet) di Soloraya</v>
      </c>
      <c r="C959" s="7">
        <f>IFERROR(__xludf.DUMMYFUNCTION("""COMPUTED_VALUE"""),2025.0)</f>
        <v>2025</v>
      </c>
      <c r="D959" s="8" t="str">
        <f>IFERROR(__xludf.DUMMYFUNCTION("""COMPUTED_VALUE"""),"2024/2025")</f>
        <v>2024/2025</v>
      </c>
      <c r="E959" s="9">
        <f>IFERROR(__xludf.DUMMYFUNCTION("""COMPUTED_VALUE"""),45721.0)</f>
        <v>45721</v>
      </c>
      <c r="F959" s="5" t="str">
        <f>IFERROR(__xludf.DUMMYFUNCTION("""COMPUTED_VALUE"""),"Genap")</f>
        <v>Genap</v>
      </c>
      <c r="G959" s="5" t="str">
        <f>IFERROR(__xludf.DUMMYFUNCTION("""COMPUTED_VALUE"""),"Manajemen")</f>
        <v>Manajemen</v>
      </c>
      <c r="H959" s="10" t="str">
        <f>IFERROR(__xludf.DUMMYFUNCTION("""COMPUTED_VALUE"""),"Mahasiswa")</f>
        <v>Mahasiswa</v>
      </c>
      <c r="I959" s="6" t="str">
        <f>IFERROR(__xludf.DUMMYFUNCTION("""COMPUTED_VALUE"""),"Mufid Nur Farida")</f>
        <v>Mufid Nur Farida</v>
      </c>
      <c r="J959" s="6" t="str">
        <f>IFERROR(__xludf.DUMMYFUNCTION("""COMPUTED_VALUE"""),"Heny Kurnianingsih")</f>
        <v>Heny Kurnianingsih</v>
      </c>
      <c r="K959" s="6"/>
      <c r="L959" s="6"/>
      <c r="M959" s="6"/>
      <c r="N959" s="6"/>
      <c r="O959" s="6"/>
      <c r="P959" s="10" t="str">
        <f>IFERROR(__xludf.DUMMYFUNCTION("""COMPUTED_VALUE"""),"Mufid Nur Farida, Heny Kurnianingsih")</f>
        <v>Mufid Nur Farida, Heny Kurnianingsih</v>
      </c>
      <c r="Q959" s="11" t="str">
        <f>IFERROR(__xludf.DUMMYFUNCTION("""COMPUTED_VALUE"""),"https://repository.stiesurakarta.ac.id/submission/f0a4b032-5388-4b20-862b-91a4cb12aeb4")</f>
        <v>https://repository.stiesurakarta.ac.id/submission/f0a4b032-5388-4b20-862b-91a4cb12aeb4</v>
      </c>
      <c r="R959" s="6"/>
    </row>
    <row r="960">
      <c r="A960" s="5">
        <f>IFERROR(__xludf.DUMMYFUNCTION("""COMPUTED_VALUE"""),959.0)</f>
        <v>959</v>
      </c>
      <c r="B960" s="6" t="str">
        <f>IFERROR(__xludf.DUMMYFUNCTION("""COMPUTED_VALUE"""),"Purchase Decision Mahasiswa di Solo Raya Terhadap Susu Cimory di Era Digital: Peran Content Marketing, Viral Marketing &amp; Influencer Marketing")</f>
        <v>Purchase Decision Mahasiswa di Solo Raya Terhadap Susu Cimory di Era Digital: Peran Content Marketing, Viral Marketing &amp; Influencer Marketing</v>
      </c>
      <c r="C960" s="7">
        <f>IFERROR(__xludf.DUMMYFUNCTION("""COMPUTED_VALUE"""),2025.0)</f>
        <v>2025</v>
      </c>
      <c r="D960" s="8" t="str">
        <f>IFERROR(__xludf.DUMMYFUNCTION("""COMPUTED_VALUE"""),"2024/2025")</f>
        <v>2024/2025</v>
      </c>
      <c r="E960" s="9">
        <f>IFERROR(__xludf.DUMMYFUNCTION("""COMPUTED_VALUE"""),45721.0)</f>
        <v>45721</v>
      </c>
      <c r="F960" s="5" t="str">
        <f>IFERROR(__xludf.DUMMYFUNCTION("""COMPUTED_VALUE"""),"Genap")</f>
        <v>Genap</v>
      </c>
      <c r="G960" s="5" t="str">
        <f>IFERROR(__xludf.DUMMYFUNCTION("""COMPUTED_VALUE"""),"Manajemen")</f>
        <v>Manajemen</v>
      </c>
      <c r="H960" s="10" t="str">
        <f>IFERROR(__xludf.DUMMYFUNCTION("""COMPUTED_VALUE"""),"Mahasiswa")</f>
        <v>Mahasiswa</v>
      </c>
      <c r="I960" s="6" t="str">
        <f>IFERROR(__xludf.DUMMYFUNCTION("""COMPUTED_VALUE"""),"Monica Desideria")</f>
        <v>Monica Desideria</v>
      </c>
      <c r="J960" s="6" t="str">
        <f>IFERROR(__xludf.DUMMYFUNCTION("""COMPUTED_VALUE"""),"Satria Veriansyah Wiguna")</f>
        <v>Satria Veriansyah Wiguna</v>
      </c>
      <c r="K960" s="6"/>
      <c r="L960" s="6"/>
      <c r="M960" s="6"/>
      <c r="N960" s="6"/>
      <c r="O960" s="6"/>
      <c r="P960" s="10" t="str">
        <f>IFERROR(__xludf.DUMMYFUNCTION("""COMPUTED_VALUE"""),"Monica Desideria, Satria Veriansyah Wiguna")</f>
        <v>Monica Desideria, Satria Veriansyah Wiguna</v>
      </c>
      <c r="Q960" s="11" t="str">
        <f>IFERROR(__xludf.DUMMYFUNCTION("""COMPUTED_VALUE"""),"https://repository.stiesurakarta.ac.id/submission/3eaa79a1-1249-4e53-9b6f-8e77abd3120d")</f>
        <v>https://repository.stiesurakarta.ac.id/submission/3eaa79a1-1249-4e53-9b6f-8e77abd3120d</v>
      </c>
      <c r="R960" s="6"/>
    </row>
    <row r="961">
      <c r="A961" s="5">
        <f>IFERROR(__xludf.DUMMYFUNCTION("""COMPUTED_VALUE"""),960.0)</f>
        <v>960</v>
      </c>
      <c r="B961" s="6" t="str">
        <f>IFERROR(__xludf.DUMMYFUNCTION("""COMPUTED_VALUE"""),"Determinasi Kualitas Penyajian Laporan Keuangan Dana Bos SD di Kecamatan Laweyan")</f>
        <v>Determinasi Kualitas Penyajian Laporan Keuangan Dana Bos SD di Kecamatan Laweyan</v>
      </c>
      <c r="C961" s="7">
        <f>IFERROR(__xludf.DUMMYFUNCTION("""COMPUTED_VALUE"""),2025.0)</f>
        <v>2025</v>
      </c>
      <c r="D961" s="8" t="str">
        <f>IFERROR(__xludf.DUMMYFUNCTION("""COMPUTED_VALUE"""),"2024/2025")</f>
        <v>2024/2025</v>
      </c>
      <c r="E961" s="9">
        <f>IFERROR(__xludf.DUMMYFUNCTION("""COMPUTED_VALUE"""),45721.0)</f>
        <v>45721</v>
      </c>
      <c r="F961" s="5" t="str">
        <f>IFERROR(__xludf.DUMMYFUNCTION("""COMPUTED_VALUE"""),"Genap")</f>
        <v>Genap</v>
      </c>
      <c r="G961" s="5" t="str">
        <f>IFERROR(__xludf.DUMMYFUNCTION("""COMPUTED_VALUE"""),"Akuntansi")</f>
        <v>Akuntansi</v>
      </c>
      <c r="H961" s="10" t="str">
        <f>IFERROR(__xludf.DUMMYFUNCTION("""COMPUTED_VALUE"""),"Mahasiswa")</f>
        <v>Mahasiswa</v>
      </c>
      <c r="I961" s="6" t="str">
        <f>IFERROR(__xludf.DUMMYFUNCTION("""COMPUTED_VALUE"""),"Rudita Setiawan")</f>
        <v>Rudita Setiawan</v>
      </c>
      <c r="J961" s="6" t="str">
        <f>IFERROR(__xludf.DUMMYFUNCTION("""COMPUTED_VALUE"""),"Dewi Ika Octavia")</f>
        <v>Dewi Ika Octavia</v>
      </c>
      <c r="K961" s="6"/>
      <c r="L961" s="6"/>
      <c r="M961" s="6"/>
      <c r="N961" s="6"/>
      <c r="O961" s="6"/>
      <c r="P961" s="10" t="str">
        <f>IFERROR(__xludf.DUMMYFUNCTION("""COMPUTED_VALUE"""),"Rudita Setiawan, Dewi Ika Octavia")</f>
        <v>Rudita Setiawan, Dewi Ika Octavia</v>
      </c>
      <c r="Q961" s="11" t="str">
        <f>IFERROR(__xludf.DUMMYFUNCTION("""COMPUTED_VALUE"""),"https://ejournal.kompetif.com/index.php/dayasaing/article/view/2047")</f>
        <v>https://ejournal.kompetif.com/index.php/dayasaing/article/view/2047</v>
      </c>
      <c r="R961" s="6"/>
    </row>
    <row r="962">
      <c r="A962" s="5">
        <f>IFERROR(__xludf.DUMMYFUNCTION("""COMPUTED_VALUE"""),961.0)</f>
        <v>961</v>
      </c>
      <c r="B962" s="6" t="str">
        <f>IFERROR(__xludf.DUMMYFUNCTION("""COMPUTED_VALUE"""),"Pengaruh Shopping Lifestyle, Promosi dan Kualitas Produk Terhadap Keputusan Pembelian Pakaian Bekas pada Thrift Shop Drokaz ( Studi pada Kasus Konsumen Pakaian Bekas di Wilayah Soloraya )")</f>
        <v>Pengaruh Shopping Lifestyle, Promosi dan Kualitas Produk Terhadap Keputusan Pembelian Pakaian Bekas pada Thrift Shop Drokaz ( Studi pada Kasus Konsumen Pakaian Bekas di Wilayah Soloraya )</v>
      </c>
      <c r="C962" s="7">
        <f>IFERROR(__xludf.DUMMYFUNCTION("""COMPUTED_VALUE"""),2025.0)</f>
        <v>2025</v>
      </c>
      <c r="D962" s="8" t="str">
        <f>IFERROR(__xludf.DUMMYFUNCTION("""COMPUTED_VALUE"""),"2024/2025")</f>
        <v>2024/2025</v>
      </c>
      <c r="E962" s="9">
        <f>IFERROR(__xludf.DUMMYFUNCTION("""COMPUTED_VALUE"""),45722.0)</f>
        <v>45722</v>
      </c>
      <c r="F962" s="5" t="str">
        <f>IFERROR(__xludf.DUMMYFUNCTION("""COMPUTED_VALUE"""),"Genap")</f>
        <v>Genap</v>
      </c>
      <c r="G962" s="5" t="str">
        <f>IFERROR(__xludf.DUMMYFUNCTION("""COMPUTED_VALUE"""),"Manajemen")</f>
        <v>Manajemen</v>
      </c>
      <c r="H962" s="10" t="str">
        <f>IFERROR(__xludf.DUMMYFUNCTION("""COMPUTED_VALUE"""),"Mahasiswa")</f>
        <v>Mahasiswa</v>
      </c>
      <c r="I962" s="6" t="str">
        <f>IFERROR(__xludf.DUMMYFUNCTION("""COMPUTED_VALUE"""),"Adi Yulianto")</f>
        <v>Adi Yulianto</v>
      </c>
      <c r="J962" s="6" t="str">
        <f>IFERROR(__xludf.DUMMYFUNCTION("""COMPUTED_VALUE"""),"Budi istiyanto")</f>
        <v>Budi istiyanto</v>
      </c>
      <c r="K962" s="6"/>
      <c r="L962" s="6"/>
      <c r="M962" s="6"/>
      <c r="N962" s="6"/>
      <c r="O962" s="6"/>
      <c r="P962" s="10" t="str">
        <f>IFERROR(__xludf.DUMMYFUNCTION("""COMPUTED_VALUE"""),"Adi Yulianto, Budi istiyanto")</f>
        <v>Adi Yulianto, Budi istiyanto</v>
      </c>
      <c r="Q962" s="11" t="str">
        <f>IFERROR(__xludf.DUMMYFUNCTION("""COMPUTED_VALUE"""),"https://repository.stiesurakarta.ac.id/submission/e554c3b7-feb8-466c-bffe-47ccfed6982d")</f>
        <v>https://repository.stiesurakarta.ac.id/submission/e554c3b7-feb8-466c-bffe-47ccfed6982d</v>
      </c>
      <c r="R962" s="6"/>
    </row>
    <row r="963">
      <c r="A963" s="5">
        <f>IFERROR(__xludf.DUMMYFUNCTION("""COMPUTED_VALUE"""),962.0)</f>
        <v>962</v>
      </c>
      <c r="B963" s="6" t="str">
        <f>IFERROR(__xludf.DUMMYFUNCTION("""COMPUTED_VALUE"""),"Pengaruh Persediaan Sampel Produk, Kualitas Produk, dan Persepsi Harga Terhadap Minat Pembelian di Sociolla Solo Paragon Lifestyle Mall")</f>
        <v>Pengaruh Persediaan Sampel Produk, Kualitas Produk, dan Persepsi Harga Terhadap Minat Pembelian di Sociolla Solo Paragon Lifestyle Mall</v>
      </c>
      <c r="C963" s="7">
        <f>IFERROR(__xludf.DUMMYFUNCTION("""COMPUTED_VALUE"""),2025.0)</f>
        <v>2025</v>
      </c>
      <c r="D963" s="8" t="str">
        <f>IFERROR(__xludf.DUMMYFUNCTION("""COMPUTED_VALUE"""),"2024/2025")</f>
        <v>2024/2025</v>
      </c>
      <c r="E963" s="9">
        <f>IFERROR(__xludf.DUMMYFUNCTION("""COMPUTED_VALUE"""),45722.0)</f>
        <v>45722</v>
      </c>
      <c r="F963" s="5" t="str">
        <f>IFERROR(__xludf.DUMMYFUNCTION("""COMPUTED_VALUE"""),"Genap")</f>
        <v>Genap</v>
      </c>
      <c r="G963" s="5" t="str">
        <f>IFERROR(__xludf.DUMMYFUNCTION("""COMPUTED_VALUE"""),"Manajemen")</f>
        <v>Manajemen</v>
      </c>
      <c r="H963" s="10" t="str">
        <f>IFERROR(__xludf.DUMMYFUNCTION("""COMPUTED_VALUE"""),"Mahasiswa")</f>
        <v>Mahasiswa</v>
      </c>
      <c r="I963" s="6" t="str">
        <f>IFERROR(__xludf.DUMMYFUNCTION("""COMPUTED_VALUE"""),"Monica Diah Pertiwi")</f>
        <v>Monica Diah Pertiwi</v>
      </c>
      <c r="J963" s="6" t="str">
        <f>IFERROR(__xludf.DUMMYFUNCTION("""COMPUTED_VALUE"""),"Ari Susanti")</f>
        <v>Ari Susanti</v>
      </c>
      <c r="K963" s="6"/>
      <c r="L963" s="6"/>
      <c r="M963" s="6"/>
      <c r="N963" s="6"/>
      <c r="O963" s="6"/>
      <c r="P963" s="10" t="str">
        <f>IFERROR(__xludf.DUMMYFUNCTION("""COMPUTED_VALUE"""),"Monica Diah Pertiwi, Ari Susanti")</f>
        <v>Monica Diah Pertiwi, Ari Susanti</v>
      </c>
      <c r="Q963" s="11" t="str">
        <f>IFERROR(__xludf.DUMMYFUNCTION("""COMPUTED_VALUE"""),"https://repository.stiesurakarta.ac.id/submission/221aeea6-09ab-4600-8e06-08c96ed90f97")</f>
        <v>https://repository.stiesurakarta.ac.id/submission/221aeea6-09ab-4600-8e06-08c96ed90f97</v>
      </c>
      <c r="R963" s="6"/>
    </row>
    <row r="964">
      <c r="A964" s="5">
        <f>IFERROR(__xludf.DUMMYFUNCTION("""COMPUTED_VALUE"""),963.0)</f>
        <v>963</v>
      </c>
      <c r="B964" s="6" t="str">
        <f>IFERROR(__xludf.DUMMYFUNCTION("""COMPUTED_VALUE"""),"Pengaruh Online Customer Review, Flash Sale, dan Live Streaming Terhadap Keputusan Pembelian Produk The Originote di Shopee (Studi Kasus Pada Mahasiswa Kota Surakarta)")</f>
        <v>Pengaruh Online Customer Review, Flash Sale, dan Live Streaming Terhadap Keputusan Pembelian Produk The Originote di Shopee (Studi Kasus Pada Mahasiswa Kota Surakarta)</v>
      </c>
      <c r="C964" s="7">
        <f>IFERROR(__xludf.DUMMYFUNCTION("""COMPUTED_VALUE"""),2025.0)</f>
        <v>2025</v>
      </c>
      <c r="D964" s="8" t="str">
        <f>IFERROR(__xludf.DUMMYFUNCTION("""COMPUTED_VALUE"""),"2024/2025")</f>
        <v>2024/2025</v>
      </c>
      <c r="E964" s="9">
        <f>IFERROR(__xludf.DUMMYFUNCTION("""COMPUTED_VALUE"""),45723.0)</f>
        <v>45723</v>
      </c>
      <c r="F964" s="5" t="str">
        <f>IFERROR(__xludf.DUMMYFUNCTION("""COMPUTED_VALUE"""),"Genap")</f>
        <v>Genap</v>
      </c>
      <c r="G964" s="5" t="str">
        <f>IFERROR(__xludf.DUMMYFUNCTION("""COMPUTED_VALUE"""),"Manajemen")</f>
        <v>Manajemen</v>
      </c>
      <c r="H964" s="10" t="str">
        <f>IFERROR(__xludf.DUMMYFUNCTION("""COMPUTED_VALUE"""),"Mahasiswa")</f>
        <v>Mahasiswa</v>
      </c>
      <c r="I964" s="6" t="str">
        <f>IFERROR(__xludf.DUMMYFUNCTION("""COMPUTED_VALUE"""),"Alifia Rachma Sari")</f>
        <v>Alifia Rachma Sari</v>
      </c>
      <c r="J964" s="6" t="str">
        <f>IFERROR(__xludf.DUMMYFUNCTION("""COMPUTED_VALUE"""),"Ari Susanti")</f>
        <v>Ari Susanti</v>
      </c>
      <c r="K964" s="6"/>
      <c r="L964" s="6"/>
      <c r="M964" s="6"/>
      <c r="N964" s="6"/>
      <c r="O964" s="6"/>
      <c r="P964" s="10" t="str">
        <f>IFERROR(__xludf.DUMMYFUNCTION("""COMPUTED_VALUE"""),"Alifia Rachma Sari, Ari Susanti")</f>
        <v>Alifia Rachma Sari, Ari Susanti</v>
      </c>
      <c r="Q964" s="11" t="str">
        <f>IFERROR(__xludf.DUMMYFUNCTION("""COMPUTED_VALUE"""),"https://repository.stiesurakarta.ac.id/submission/378e8f67-afbd-4e93-8da9-2fa8b2115f7c")</f>
        <v>https://repository.stiesurakarta.ac.id/submission/378e8f67-afbd-4e93-8da9-2fa8b2115f7c</v>
      </c>
      <c r="R964" s="6"/>
    </row>
    <row r="965">
      <c r="A965" s="5">
        <f>IFERROR(__xludf.DUMMYFUNCTION("""COMPUTED_VALUE"""),964.0)</f>
        <v>964</v>
      </c>
      <c r="B965" s="6" t="str">
        <f>IFERROR(__xludf.DUMMYFUNCTION("""COMPUTED_VALUE"""),"Dampak Transformatif E-Commerce: Mendorong Pertumbuhan Ekonomi dan Kinerja UMKM di Surakarta")</f>
        <v>Dampak Transformatif E-Commerce: Mendorong Pertumbuhan Ekonomi dan Kinerja UMKM di Surakarta</v>
      </c>
      <c r="C965" s="7">
        <f>IFERROR(__xludf.DUMMYFUNCTION("""COMPUTED_VALUE"""),2025.0)</f>
        <v>2025</v>
      </c>
      <c r="D965" s="8" t="str">
        <f>IFERROR(__xludf.DUMMYFUNCTION("""COMPUTED_VALUE"""),"2024/2025")</f>
        <v>2024/2025</v>
      </c>
      <c r="E965" s="9">
        <f>IFERROR(__xludf.DUMMYFUNCTION("""COMPUTED_VALUE"""),45723.0)</f>
        <v>45723</v>
      </c>
      <c r="F965" s="5" t="str">
        <f>IFERROR(__xludf.DUMMYFUNCTION("""COMPUTED_VALUE"""),"Genap")</f>
        <v>Genap</v>
      </c>
      <c r="G965" s="5" t="str">
        <f>IFERROR(__xludf.DUMMYFUNCTION("""COMPUTED_VALUE"""),"Manajemen")</f>
        <v>Manajemen</v>
      </c>
      <c r="H965" s="10" t="str">
        <f>IFERROR(__xludf.DUMMYFUNCTION("""COMPUTED_VALUE"""),"Mahasiswa")</f>
        <v>Mahasiswa</v>
      </c>
      <c r="I965" s="6" t="str">
        <f>IFERROR(__xludf.DUMMYFUNCTION("""COMPUTED_VALUE"""),"Mira An Hari")</f>
        <v>Mira An Hari</v>
      </c>
      <c r="J965" s="6" t="str">
        <f>IFERROR(__xludf.DUMMYFUNCTION("""COMPUTED_VALUE"""),"Ari Susanti")</f>
        <v>Ari Susanti</v>
      </c>
      <c r="K965" s="6"/>
      <c r="L965" s="6"/>
      <c r="M965" s="6"/>
      <c r="N965" s="6"/>
      <c r="O965" s="6"/>
      <c r="P965" s="10" t="str">
        <f>IFERROR(__xludf.DUMMYFUNCTION("""COMPUTED_VALUE"""),"Mira An Hari, Ari Susanti")</f>
        <v>Mira An Hari, Ari Susanti</v>
      </c>
      <c r="Q965" s="11" t="str">
        <f>IFERROR(__xludf.DUMMYFUNCTION("""COMPUTED_VALUE"""),"https://repository.stiesurakarta.ac.id/submission/586ad1a2-8991-4cb8-9ea9-d012c528d1f9")</f>
        <v>https://repository.stiesurakarta.ac.id/submission/586ad1a2-8991-4cb8-9ea9-d012c528d1f9</v>
      </c>
      <c r="R965" s="6"/>
    </row>
    <row r="966">
      <c r="A966" s="5">
        <f>IFERROR(__xludf.DUMMYFUNCTION("""COMPUTED_VALUE"""),965.0)</f>
        <v>965</v>
      </c>
      <c r="B966" s="6" t="str">
        <f>IFERROR(__xludf.DUMMYFUNCTION("""COMPUTED_VALUE"""),"Pengaruh Kesadaran Merek, Variasi Produk dan Persepsi Kualitas Terhadap Keputusan Pembelian Sepatu Adidas Pada Masyarakat di Surakarta")</f>
        <v>Pengaruh Kesadaran Merek, Variasi Produk dan Persepsi Kualitas Terhadap Keputusan Pembelian Sepatu Adidas Pada Masyarakat di Surakarta</v>
      </c>
      <c r="C966" s="7">
        <f>IFERROR(__xludf.DUMMYFUNCTION("""COMPUTED_VALUE"""),2025.0)</f>
        <v>2025</v>
      </c>
      <c r="D966" s="8" t="str">
        <f>IFERROR(__xludf.DUMMYFUNCTION("""COMPUTED_VALUE"""),"2024/2025")</f>
        <v>2024/2025</v>
      </c>
      <c r="E966" s="9">
        <f>IFERROR(__xludf.DUMMYFUNCTION("""COMPUTED_VALUE"""),45723.0)</f>
        <v>45723</v>
      </c>
      <c r="F966" s="5" t="str">
        <f>IFERROR(__xludf.DUMMYFUNCTION("""COMPUTED_VALUE"""),"Genap")</f>
        <v>Genap</v>
      </c>
      <c r="G966" s="5" t="str">
        <f>IFERROR(__xludf.DUMMYFUNCTION("""COMPUTED_VALUE"""),"Manajemen")</f>
        <v>Manajemen</v>
      </c>
      <c r="H966" s="10" t="str">
        <f>IFERROR(__xludf.DUMMYFUNCTION("""COMPUTED_VALUE"""),"Mahasiswa")</f>
        <v>Mahasiswa</v>
      </c>
      <c r="I966" s="6" t="str">
        <f>IFERROR(__xludf.DUMMYFUNCTION("""COMPUTED_VALUE"""),"Daffa Sresha Dharma p")</f>
        <v>Daffa Sresha Dharma p</v>
      </c>
      <c r="J966" s="6" t="str">
        <f>IFERROR(__xludf.DUMMYFUNCTION("""COMPUTED_VALUE"""),"Ari Susanti")</f>
        <v>Ari Susanti</v>
      </c>
      <c r="K966" s="6"/>
      <c r="L966" s="6"/>
      <c r="M966" s="6"/>
      <c r="N966" s="6"/>
      <c r="O966" s="6"/>
      <c r="P966" s="10" t="str">
        <f>IFERROR(__xludf.DUMMYFUNCTION("""COMPUTED_VALUE"""),"Daffa Sresha Dharma p, Ari Susanti")</f>
        <v>Daffa Sresha Dharma p, Ari Susanti</v>
      </c>
      <c r="Q966" s="11" t="str">
        <f>IFERROR(__xludf.DUMMYFUNCTION("""COMPUTED_VALUE"""),"https://repository.stiesurakarta.ac.id/submission/b7010110-2925-4e3b-a737-a6cecd4a7518")</f>
        <v>https://repository.stiesurakarta.ac.id/submission/b7010110-2925-4e3b-a737-a6cecd4a7518</v>
      </c>
      <c r="R966" s="6"/>
    </row>
    <row r="967">
      <c r="A967" s="5">
        <f>IFERROR(__xludf.DUMMYFUNCTION("""COMPUTED_VALUE"""),966.0)</f>
        <v>966</v>
      </c>
      <c r="B967" s="6" t="str">
        <f>IFERROR(__xludf.DUMMYFUNCTION("""COMPUTED_VALUE"""),"PENGARUH INFLUENCER, CITRA MEREK, DAN PERSEPSI HARGA TERHADAP KEPUTUSAN PEMBELIAN PRODUK SKINCARE WARDAH MELALUI ONLINE SHOP DI SOLO RAYA")</f>
        <v>PENGARUH INFLUENCER, CITRA MEREK, DAN PERSEPSI HARGA TERHADAP KEPUTUSAN PEMBELIAN PRODUK SKINCARE WARDAH MELALUI ONLINE SHOP DI SOLO RAYA</v>
      </c>
      <c r="C967" s="7">
        <f>IFERROR(__xludf.DUMMYFUNCTION("""COMPUTED_VALUE"""),2025.0)</f>
        <v>2025</v>
      </c>
      <c r="D967" s="8" t="str">
        <f>IFERROR(__xludf.DUMMYFUNCTION("""COMPUTED_VALUE"""),"2024/2025")</f>
        <v>2024/2025</v>
      </c>
      <c r="E967" s="9">
        <f>IFERROR(__xludf.DUMMYFUNCTION("""COMPUTED_VALUE"""),45723.0)</f>
        <v>45723</v>
      </c>
      <c r="F967" s="5" t="str">
        <f>IFERROR(__xludf.DUMMYFUNCTION("""COMPUTED_VALUE"""),"Genap")</f>
        <v>Genap</v>
      </c>
      <c r="G967" s="5" t="str">
        <f>IFERROR(__xludf.DUMMYFUNCTION("""COMPUTED_VALUE"""),"Manajemen")</f>
        <v>Manajemen</v>
      </c>
      <c r="H967" s="10" t="str">
        <f>IFERROR(__xludf.DUMMYFUNCTION("""COMPUTED_VALUE"""),"Mahasiswa")</f>
        <v>Mahasiswa</v>
      </c>
      <c r="I967" s="6" t="str">
        <f>IFERROR(__xludf.DUMMYFUNCTION("""COMPUTED_VALUE"""),"Andini Bunga Qur'aini")</f>
        <v>Andini Bunga Qur'aini</v>
      </c>
      <c r="J967" s="6" t="str">
        <f>IFERROR(__xludf.DUMMYFUNCTION("""COMPUTED_VALUE"""),"Ari Susanti")</f>
        <v>Ari Susanti</v>
      </c>
      <c r="K967" s="6"/>
      <c r="L967" s="6"/>
      <c r="M967" s="6"/>
      <c r="N967" s="6"/>
      <c r="O967" s="6"/>
      <c r="P967" s="10" t="str">
        <f>IFERROR(__xludf.DUMMYFUNCTION("""COMPUTED_VALUE"""),"Andini Bunga Qur'aini, Ari Susanti")</f>
        <v>Andini Bunga Qur'aini, Ari Susanti</v>
      </c>
      <c r="Q967" s="11" t="str">
        <f>IFERROR(__xludf.DUMMYFUNCTION("""COMPUTED_VALUE"""),"https://repository.stiesurakarta.ac.id/submission/eeb975ab-1c50-43ff-bcbe-5fb8bbb28ca9")</f>
        <v>https://repository.stiesurakarta.ac.id/submission/eeb975ab-1c50-43ff-bcbe-5fb8bbb28ca9</v>
      </c>
      <c r="R967" s="6"/>
    </row>
    <row r="968">
      <c r="A968" s="5">
        <f>IFERROR(__xludf.DUMMYFUNCTION("""COMPUTED_VALUE"""),967.0)</f>
        <v>967</v>
      </c>
      <c r="B968" s="6" t="str">
        <f>IFERROR(__xludf.DUMMYFUNCTION("""COMPUTED_VALUE"""),"Analisis Pengendalian Proses Produksi Dalam Meningkatkan Kualitas Produk Pada Industri Konveksi Baju Jersey Playon Surakarta")</f>
        <v>Analisis Pengendalian Proses Produksi Dalam Meningkatkan Kualitas Produk Pada Industri Konveksi Baju Jersey Playon Surakarta</v>
      </c>
      <c r="C968" s="7">
        <f>IFERROR(__xludf.DUMMYFUNCTION("""COMPUTED_VALUE"""),2025.0)</f>
        <v>2025</v>
      </c>
      <c r="D968" s="8" t="str">
        <f>IFERROR(__xludf.DUMMYFUNCTION("""COMPUTED_VALUE"""),"2024/2025")</f>
        <v>2024/2025</v>
      </c>
      <c r="E968" s="9">
        <f>IFERROR(__xludf.DUMMYFUNCTION("""COMPUTED_VALUE"""),45726.0)</f>
        <v>45726</v>
      </c>
      <c r="F968" s="5" t="str">
        <f>IFERROR(__xludf.DUMMYFUNCTION("""COMPUTED_VALUE"""),"Genap")</f>
        <v>Genap</v>
      </c>
      <c r="G968" s="5" t="str">
        <f>IFERROR(__xludf.DUMMYFUNCTION("""COMPUTED_VALUE"""),"Manajemen")</f>
        <v>Manajemen</v>
      </c>
      <c r="H968" s="10" t="str">
        <f>IFERROR(__xludf.DUMMYFUNCTION("""COMPUTED_VALUE"""),"Mahasiswa")</f>
        <v>Mahasiswa</v>
      </c>
      <c r="I968" s="6" t="str">
        <f>IFERROR(__xludf.DUMMYFUNCTION("""COMPUTED_VALUE"""),"Siti Nur An-nisa")</f>
        <v>Siti Nur An-nisa</v>
      </c>
      <c r="J968" s="6" t="str">
        <f>IFERROR(__xludf.DUMMYFUNCTION("""COMPUTED_VALUE"""),"Muhammad Syihabuddin")</f>
        <v>Muhammad Syihabuddin</v>
      </c>
      <c r="K968" s="6"/>
      <c r="L968" s="6"/>
      <c r="M968" s="6"/>
      <c r="N968" s="6"/>
      <c r="O968" s="6"/>
      <c r="P968" s="10" t="str">
        <f>IFERROR(__xludf.DUMMYFUNCTION("""COMPUTED_VALUE"""),"Siti Nur An-nisa, Muhammad Syihabuddin")</f>
        <v>Siti Nur An-nisa, Muhammad Syihabuddin</v>
      </c>
      <c r="Q968" s="11" t="str">
        <f>IFERROR(__xludf.DUMMYFUNCTION("""COMPUTED_VALUE"""),"https://repository.stiesurakarta.ac.id/submission/435017f2-028c-424e-86bb-a125d39166dd")</f>
        <v>https://repository.stiesurakarta.ac.id/submission/435017f2-028c-424e-86bb-a125d39166dd</v>
      </c>
      <c r="R968" s="6"/>
    </row>
    <row r="969">
      <c r="A969" s="5">
        <f>IFERROR(__xludf.DUMMYFUNCTION("""COMPUTED_VALUE"""),968.0)</f>
        <v>968</v>
      </c>
      <c r="B969" s="6" t="str">
        <f>IFERROR(__xludf.DUMMYFUNCTION("""COMPUTED_VALUE"""),"Analisis Strategi Pemasaran Digital Melalui Instagram (Studi Deskriptif Pada Akun @Umbul_Sigedhang)")</f>
        <v>Analisis Strategi Pemasaran Digital Melalui Instagram (Studi Deskriptif Pada Akun @Umbul_Sigedhang)</v>
      </c>
      <c r="C969" s="7">
        <f>IFERROR(__xludf.DUMMYFUNCTION("""COMPUTED_VALUE"""),2025.0)</f>
        <v>2025</v>
      </c>
      <c r="D969" s="8" t="str">
        <f>IFERROR(__xludf.DUMMYFUNCTION("""COMPUTED_VALUE"""),"2024/2025")</f>
        <v>2024/2025</v>
      </c>
      <c r="E969" s="9">
        <f>IFERROR(__xludf.DUMMYFUNCTION("""COMPUTED_VALUE"""),45726.0)</f>
        <v>45726</v>
      </c>
      <c r="F969" s="5" t="str">
        <f>IFERROR(__xludf.DUMMYFUNCTION("""COMPUTED_VALUE"""),"Genap")</f>
        <v>Genap</v>
      </c>
      <c r="G969" s="5" t="str">
        <f>IFERROR(__xludf.DUMMYFUNCTION("""COMPUTED_VALUE"""),"Manajemen")</f>
        <v>Manajemen</v>
      </c>
      <c r="H969" s="10" t="str">
        <f>IFERROR(__xludf.DUMMYFUNCTION("""COMPUTED_VALUE"""),"Mahasiswa")</f>
        <v>Mahasiswa</v>
      </c>
      <c r="I969" s="6" t="str">
        <f>IFERROR(__xludf.DUMMYFUNCTION("""COMPUTED_VALUE"""),"Shinta Pramudina")</f>
        <v>Shinta Pramudina</v>
      </c>
      <c r="J969" s="6" t="str">
        <f>IFERROR(__xludf.DUMMYFUNCTION("""COMPUTED_VALUE"""),"Muhammad Syihabuddin")</f>
        <v>Muhammad Syihabuddin</v>
      </c>
      <c r="K969" s="6"/>
      <c r="L969" s="6"/>
      <c r="M969" s="6"/>
      <c r="N969" s="6"/>
      <c r="O969" s="6"/>
      <c r="P969" s="10" t="str">
        <f>IFERROR(__xludf.DUMMYFUNCTION("""COMPUTED_VALUE"""),"Shinta Pramudina, Muhammad Syihabuddin")</f>
        <v>Shinta Pramudina, Muhammad Syihabuddin</v>
      </c>
      <c r="Q969" s="11" t="str">
        <f>IFERROR(__xludf.DUMMYFUNCTION("""COMPUTED_VALUE"""),"https://repository.stiesurakarta.ac.id/submission/242ed7db-e806-4711-80a6-ede3a0440721")</f>
        <v>https://repository.stiesurakarta.ac.id/submission/242ed7db-e806-4711-80a6-ede3a0440721</v>
      </c>
      <c r="R969" s="6"/>
    </row>
    <row r="970">
      <c r="A970" s="5">
        <f>IFERROR(__xludf.DUMMYFUNCTION("""COMPUTED_VALUE"""),969.0)</f>
        <v>969</v>
      </c>
      <c r="B970" s="6" t="str">
        <f>IFERROR(__xludf.DUMMYFUNCTION("""COMPUTED_VALUE"""),"Pengaruh Kualitas Layanan, Kemudahan dan Kemanfaatan Terhadap Loyalitas Pelanggan Dalam Penggunaan E-Wallet Shopeepay di Solo Raya")</f>
        <v>Pengaruh Kualitas Layanan, Kemudahan dan Kemanfaatan Terhadap Loyalitas Pelanggan Dalam Penggunaan E-Wallet Shopeepay di Solo Raya</v>
      </c>
      <c r="C970" s="7">
        <f>IFERROR(__xludf.DUMMYFUNCTION("""COMPUTED_VALUE"""),2025.0)</f>
        <v>2025</v>
      </c>
      <c r="D970" s="8" t="str">
        <f>IFERROR(__xludf.DUMMYFUNCTION("""COMPUTED_VALUE"""),"2024/2025")</f>
        <v>2024/2025</v>
      </c>
      <c r="E970" s="9">
        <f>IFERROR(__xludf.DUMMYFUNCTION("""COMPUTED_VALUE"""),45726.0)</f>
        <v>45726</v>
      </c>
      <c r="F970" s="5" t="str">
        <f>IFERROR(__xludf.DUMMYFUNCTION("""COMPUTED_VALUE"""),"Genap")</f>
        <v>Genap</v>
      </c>
      <c r="G970" s="5" t="str">
        <f>IFERROR(__xludf.DUMMYFUNCTION("""COMPUTED_VALUE"""),"Manajemen")</f>
        <v>Manajemen</v>
      </c>
      <c r="H970" s="10" t="str">
        <f>IFERROR(__xludf.DUMMYFUNCTION("""COMPUTED_VALUE"""),"Mahasiswa")</f>
        <v>Mahasiswa</v>
      </c>
      <c r="I970" s="6" t="str">
        <f>IFERROR(__xludf.DUMMYFUNCTION("""COMPUTED_VALUE"""),"M Rakha Naufal Irfano")</f>
        <v>M Rakha Naufal Irfano</v>
      </c>
      <c r="J970" s="6" t="str">
        <f>IFERROR(__xludf.DUMMYFUNCTION("""COMPUTED_VALUE"""),"Muhammad Syihabuddin")</f>
        <v>Muhammad Syihabuddin</v>
      </c>
      <c r="K970" s="6"/>
      <c r="L970" s="6"/>
      <c r="M970" s="6"/>
      <c r="N970" s="6"/>
      <c r="O970" s="6"/>
      <c r="P970" s="10" t="str">
        <f>IFERROR(__xludf.DUMMYFUNCTION("""COMPUTED_VALUE"""),"M Rakha Naufal Irfano, Muhammad Syihabuddin")</f>
        <v>M Rakha Naufal Irfano, Muhammad Syihabuddin</v>
      </c>
      <c r="Q970" s="11" t="str">
        <f>IFERROR(__xludf.DUMMYFUNCTION("""COMPUTED_VALUE"""),"https://repository.stiesurakarta.ac.id/submission/d645357b-e3aa-4e5c-adde-68d3222d8e25")</f>
        <v>https://repository.stiesurakarta.ac.id/submission/d645357b-e3aa-4e5c-adde-68d3222d8e25</v>
      </c>
      <c r="R970" s="6"/>
    </row>
    <row r="971">
      <c r="A971" s="5">
        <f>IFERROR(__xludf.DUMMYFUNCTION("""COMPUTED_VALUE"""),970.0)</f>
        <v>970</v>
      </c>
      <c r="B971" s="6" t="str">
        <f>IFERROR(__xludf.DUMMYFUNCTION("""COMPUTED_VALUE"""),"Analisis Pengaruh User Interface, User Experience, dan Kualitas Pelayanan Terhadap Kepuasan Pelanggan Pada Aplikasi “Shopee” Untuk Konsumen Gen-Z di Kota Surakarta")</f>
        <v>Analisis Pengaruh User Interface, User Experience, dan Kualitas Pelayanan Terhadap Kepuasan Pelanggan Pada Aplikasi “Shopee” Untuk Konsumen Gen-Z di Kota Surakarta</v>
      </c>
      <c r="C971" s="7">
        <f>IFERROR(__xludf.DUMMYFUNCTION("""COMPUTED_VALUE"""),2025.0)</f>
        <v>2025</v>
      </c>
      <c r="D971" s="8" t="str">
        <f>IFERROR(__xludf.DUMMYFUNCTION("""COMPUTED_VALUE"""),"2024/2025")</f>
        <v>2024/2025</v>
      </c>
      <c r="E971" s="9">
        <f>IFERROR(__xludf.DUMMYFUNCTION("""COMPUTED_VALUE"""),45726.0)</f>
        <v>45726</v>
      </c>
      <c r="F971" s="5" t="str">
        <f>IFERROR(__xludf.DUMMYFUNCTION("""COMPUTED_VALUE"""),"Genap")</f>
        <v>Genap</v>
      </c>
      <c r="G971" s="5" t="str">
        <f>IFERROR(__xludf.DUMMYFUNCTION("""COMPUTED_VALUE"""),"Manajemen")</f>
        <v>Manajemen</v>
      </c>
      <c r="H971" s="10" t="str">
        <f>IFERROR(__xludf.DUMMYFUNCTION("""COMPUTED_VALUE"""),"Mahasiswa")</f>
        <v>Mahasiswa</v>
      </c>
      <c r="I971" s="6" t="str">
        <f>IFERROR(__xludf.DUMMYFUNCTION("""COMPUTED_VALUE"""),"Carenina Maharani")</f>
        <v>Carenina Maharani</v>
      </c>
      <c r="J971" s="6" t="str">
        <f>IFERROR(__xludf.DUMMYFUNCTION("""COMPUTED_VALUE"""),"Satria Veriansyah Wiguna")</f>
        <v>Satria Veriansyah Wiguna</v>
      </c>
      <c r="K971" s="6"/>
      <c r="L971" s="6"/>
      <c r="M971" s="6"/>
      <c r="N971" s="6"/>
      <c r="O971" s="6"/>
      <c r="P971" s="10" t="str">
        <f>IFERROR(__xludf.DUMMYFUNCTION("""COMPUTED_VALUE"""),"Carenina Maharani, Satria Veriansyah Wiguna")</f>
        <v>Carenina Maharani, Satria Veriansyah Wiguna</v>
      </c>
      <c r="Q971" s="11" t="str">
        <f>IFERROR(__xludf.DUMMYFUNCTION("""COMPUTED_VALUE"""),"https://repository.stiesurakarta.ac.id/submission/137fee20-98e2-4fd3-98ec-a1c6b3166128")</f>
        <v>https://repository.stiesurakarta.ac.id/submission/137fee20-98e2-4fd3-98ec-a1c6b3166128</v>
      </c>
      <c r="R971" s="6"/>
    </row>
    <row r="972">
      <c r="A972" s="5">
        <f>IFERROR(__xludf.DUMMYFUNCTION("""COMPUTED_VALUE"""),971.0)</f>
        <v>971</v>
      </c>
      <c r="B972" s="6" t="str">
        <f>IFERROR(__xludf.DUMMYFUNCTION("""COMPUTED_VALUE"""),"Pengaruh Digital marketing, Harga Produk dan Kualitas Pelayanan Terhadap Keputusan Pembelian Produk di PT. Faza Cipta Kreasi")</f>
        <v>Pengaruh Digital marketing, Harga Produk dan Kualitas Pelayanan Terhadap Keputusan Pembelian Produk di PT. Faza Cipta Kreasi</v>
      </c>
      <c r="C972" s="7">
        <f>IFERROR(__xludf.DUMMYFUNCTION("""COMPUTED_VALUE"""),2025.0)</f>
        <v>2025</v>
      </c>
      <c r="D972" s="8" t="str">
        <f>IFERROR(__xludf.DUMMYFUNCTION("""COMPUTED_VALUE"""),"2024/2025")</f>
        <v>2024/2025</v>
      </c>
      <c r="E972" s="9">
        <f>IFERROR(__xludf.DUMMYFUNCTION("""COMPUTED_VALUE"""),45726.0)</f>
        <v>45726</v>
      </c>
      <c r="F972" s="5" t="str">
        <f>IFERROR(__xludf.DUMMYFUNCTION("""COMPUTED_VALUE"""),"Genap")</f>
        <v>Genap</v>
      </c>
      <c r="G972" s="5" t="str">
        <f>IFERROR(__xludf.DUMMYFUNCTION("""COMPUTED_VALUE"""),"Manajemen")</f>
        <v>Manajemen</v>
      </c>
      <c r="H972" s="10" t="str">
        <f>IFERROR(__xludf.DUMMYFUNCTION("""COMPUTED_VALUE"""),"Mahasiswa")</f>
        <v>Mahasiswa</v>
      </c>
      <c r="I972" s="6" t="str">
        <f>IFERROR(__xludf.DUMMYFUNCTION("""COMPUTED_VALUE"""),"Aan Andriyanto")</f>
        <v>Aan Andriyanto</v>
      </c>
      <c r="J972" s="6" t="str">
        <f>IFERROR(__xludf.DUMMYFUNCTION("""COMPUTED_VALUE"""),"Gilang Habib Azky Pratama")</f>
        <v>Gilang Habib Azky Pratama</v>
      </c>
      <c r="K972" s="6"/>
      <c r="L972" s="6"/>
      <c r="M972" s="6"/>
      <c r="N972" s="6"/>
      <c r="O972" s="6"/>
      <c r="P972" s="10" t="str">
        <f>IFERROR(__xludf.DUMMYFUNCTION("""COMPUTED_VALUE"""),"Aan Andriyanto, Gilang Habib Azky Pratama")</f>
        <v>Aan Andriyanto, Gilang Habib Azky Pratama</v>
      </c>
      <c r="Q972" s="11" t="str">
        <f>IFERROR(__xludf.DUMMYFUNCTION("""COMPUTED_VALUE"""),"https://repository.stiesurakarta.ac.id/submission/298b6b6b-ace4-4a7d-8bcf-2321bd1867eb")</f>
        <v>https://repository.stiesurakarta.ac.id/submission/298b6b6b-ace4-4a7d-8bcf-2321bd1867eb</v>
      </c>
      <c r="R972" s="6"/>
    </row>
    <row r="973">
      <c r="A973" s="5">
        <f>IFERROR(__xludf.DUMMYFUNCTION("""COMPUTED_VALUE"""),972.0)</f>
        <v>972</v>
      </c>
      <c r="B973" s="6" t="str">
        <f>IFERROR(__xludf.DUMMYFUNCTION("""COMPUTED_VALUE"""),"Pemanfaatan Media Sosial TikTok Membangun Brand Awareness Pada Penerbit Insan Kamil")</f>
        <v>Pemanfaatan Media Sosial TikTok Membangun Brand Awareness Pada Penerbit Insan Kamil</v>
      </c>
      <c r="C973" s="7">
        <f>IFERROR(__xludf.DUMMYFUNCTION("""COMPUTED_VALUE"""),2025.0)</f>
        <v>2025</v>
      </c>
      <c r="D973" s="8" t="str">
        <f>IFERROR(__xludf.DUMMYFUNCTION("""COMPUTED_VALUE"""),"2024/2025")</f>
        <v>2024/2025</v>
      </c>
      <c r="E973" s="9">
        <f>IFERROR(__xludf.DUMMYFUNCTION("""COMPUTED_VALUE"""),45728.0)</f>
        <v>45728</v>
      </c>
      <c r="F973" s="5" t="str">
        <f>IFERROR(__xludf.DUMMYFUNCTION("""COMPUTED_VALUE"""),"Genap")</f>
        <v>Genap</v>
      </c>
      <c r="G973" s="5" t="str">
        <f>IFERROR(__xludf.DUMMYFUNCTION("""COMPUTED_VALUE"""),"Manajemen")</f>
        <v>Manajemen</v>
      </c>
      <c r="H973" s="10" t="str">
        <f>IFERROR(__xludf.DUMMYFUNCTION("""COMPUTED_VALUE"""),"Mahasiswa")</f>
        <v>Mahasiswa</v>
      </c>
      <c r="I973" s="6" t="str">
        <f>IFERROR(__xludf.DUMMYFUNCTION("""COMPUTED_VALUE"""),"SAHID NUGROHO")</f>
        <v>SAHID NUGROHO</v>
      </c>
      <c r="J973" s="6" t="str">
        <f>IFERROR(__xludf.DUMMYFUNCTION("""COMPUTED_VALUE"""),"Satria Veriansyah Wiguna")</f>
        <v>Satria Veriansyah Wiguna</v>
      </c>
      <c r="K973" s="6"/>
      <c r="L973" s="6"/>
      <c r="M973" s="6"/>
      <c r="N973" s="6"/>
      <c r="O973" s="6"/>
      <c r="P973" s="10" t="str">
        <f>IFERROR(__xludf.DUMMYFUNCTION("""COMPUTED_VALUE"""),"SAHID NUGROHO, Satria Veriansyah Wiguna")</f>
        <v>SAHID NUGROHO, Satria Veriansyah Wiguna</v>
      </c>
      <c r="Q973" s="11" t="str">
        <f>IFERROR(__xludf.DUMMYFUNCTION("""COMPUTED_VALUE"""),"https://repository.stiesurakarta.ac.id/submission/c0fd1e43-d07e-4dec-932f-512ad4ebc414")</f>
        <v>https://repository.stiesurakarta.ac.id/submission/c0fd1e43-d07e-4dec-932f-512ad4ebc414</v>
      </c>
      <c r="R973" s="6"/>
    </row>
    <row r="974">
      <c r="A974" s="5">
        <f>IFERROR(__xludf.DUMMYFUNCTION("""COMPUTED_VALUE"""),973.0)</f>
        <v>973</v>
      </c>
      <c r="B974" s="6" t="str">
        <f>IFERROR(__xludf.DUMMYFUNCTION("""COMPUTED_VALUE"""),"Pengaruh Online Customer Review, Online Customer Rating dan Potongan Harga Terhadap Keputusan Pembelian Pada Marketplace Shopee di Wilayah Soloraya")</f>
        <v>Pengaruh Online Customer Review, Online Customer Rating dan Potongan Harga Terhadap Keputusan Pembelian Pada Marketplace Shopee di Wilayah Soloraya</v>
      </c>
      <c r="C974" s="7">
        <f>IFERROR(__xludf.DUMMYFUNCTION("""COMPUTED_VALUE"""),2025.0)</f>
        <v>2025</v>
      </c>
      <c r="D974" s="8" t="str">
        <f>IFERROR(__xludf.DUMMYFUNCTION("""COMPUTED_VALUE"""),"2024/2025")</f>
        <v>2024/2025</v>
      </c>
      <c r="E974" s="9">
        <f>IFERROR(__xludf.DUMMYFUNCTION("""COMPUTED_VALUE"""),45728.0)</f>
        <v>45728</v>
      </c>
      <c r="F974" s="5" t="str">
        <f>IFERROR(__xludf.DUMMYFUNCTION("""COMPUTED_VALUE"""),"Genap")</f>
        <v>Genap</v>
      </c>
      <c r="G974" s="5" t="str">
        <f>IFERROR(__xludf.DUMMYFUNCTION("""COMPUTED_VALUE"""),"Manajemen")</f>
        <v>Manajemen</v>
      </c>
      <c r="H974" s="10" t="str">
        <f>IFERROR(__xludf.DUMMYFUNCTION("""COMPUTED_VALUE"""),"Mahasiswa")</f>
        <v>Mahasiswa</v>
      </c>
      <c r="I974" s="6" t="str">
        <f>IFERROR(__xludf.DUMMYFUNCTION("""COMPUTED_VALUE"""),"Cindy Karomah")</f>
        <v>Cindy Karomah</v>
      </c>
      <c r="J974" s="6" t="str">
        <f>IFERROR(__xludf.DUMMYFUNCTION("""COMPUTED_VALUE"""),"Ari Susanti")</f>
        <v>Ari Susanti</v>
      </c>
      <c r="K974" s="6"/>
      <c r="L974" s="6"/>
      <c r="M974" s="6"/>
      <c r="N974" s="6"/>
      <c r="O974" s="6"/>
      <c r="P974" s="10" t="str">
        <f>IFERROR(__xludf.DUMMYFUNCTION("""COMPUTED_VALUE"""),"Cindy Karomah, Ari Susanti")</f>
        <v>Cindy Karomah, Ari Susanti</v>
      </c>
      <c r="Q974" s="11" t="str">
        <f>IFERROR(__xludf.DUMMYFUNCTION("""COMPUTED_VALUE"""),"https://repository.stiesurakarta.ac.id/submission/32632c34-b3c7-4c38-9d24-f952f2727d52")</f>
        <v>https://repository.stiesurakarta.ac.id/submission/32632c34-b3c7-4c38-9d24-f952f2727d52</v>
      </c>
      <c r="R974" s="6"/>
    </row>
    <row r="975">
      <c r="A975" s="5">
        <f>IFERROR(__xludf.DUMMYFUNCTION("""COMPUTED_VALUE"""),974.0)</f>
        <v>974</v>
      </c>
      <c r="B975" s="6" t="str">
        <f>IFERROR(__xludf.DUMMYFUNCTION("""COMPUTED_VALUE"""),"Strategi Peningkatan Penjualan Melalui Promosi di Media Sosial Pada Outlet Banana’s")</f>
        <v>Strategi Peningkatan Penjualan Melalui Promosi di Media Sosial Pada Outlet Banana’s</v>
      </c>
      <c r="C975" s="7">
        <f>IFERROR(__xludf.DUMMYFUNCTION("""COMPUTED_VALUE"""),2025.0)</f>
        <v>2025</v>
      </c>
      <c r="D975" s="8" t="str">
        <f>IFERROR(__xludf.DUMMYFUNCTION("""COMPUTED_VALUE"""),"2024/2025")</f>
        <v>2024/2025</v>
      </c>
      <c r="E975" s="9">
        <f>IFERROR(__xludf.DUMMYFUNCTION("""COMPUTED_VALUE"""),45728.0)</f>
        <v>45728</v>
      </c>
      <c r="F975" s="5" t="str">
        <f>IFERROR(__xludf.DUMMYFUNCTION("""COMPUTED_VALUE"""),"Genap")</f>
        <v>Genap</v>
      </c>
      <c r="G975" s="5" t="str">
        <f>IFERROR(__xludf.DUMMYFUNCTION("""COMPUTED_VALUE"""),"Manajemen")</f>
        <v>Manajemen</v>
      </c>
      <c r="H975" s="10" t="str">
        <f>IFERROR(__xludf.DUMMYFUNCTION("""COMPUTED_VALUE"""),"Mahasiswa")</f>
        <v>Mahasiswa</v>
      </c>
      <c r="I975" s="6" t="str">
        <f>IFERROR(__xludf.DUMMYFUNCTION("""COMPUTED_VALUE"""),"Dewi Fatmawati")</f>
        <v>Dewi Fatmawati</v>
      </c>
      <c r="J975" s="6" t="str">
        <f>IFERROR(__xludf.DUMMYFUNCTION("""COMPUTED_VALUE"""),"Ari Susanti")</f>
        <v>Ari Susanti</v>
      </c>
      <c r="K975" s="6"/>
      <c r="L975" s="6"/>
      <c r="M975" s="6"/>
      <c r="N975" s="6"/>
      <c r="O975" s="6"/>
      <c r="P975" s="10" t="str">
        <f>IFERROR(__xludf.DUMMYFUNCTION("""COMPUTED_VALUE"""),"Dewi Fatmawati, Ari Susanti")</f>
        <v>Dewi Fatmawati, Ari Susanti</v>
      </c>
      <c r="Q975" s="11" t="str">
        <f>IFERROR(__xludf.DUMMYFUNCTION("""COMPUTED_VALUE"""),"https://repository.stiesurakarta.ac.id/submission/c164a2f0-4636-4620-a4f0-302c6a9d84af")</f>
        <v>https://repository.stiesurakarta.ac.id/submission/c164a2f0-4636-4620-a4f0-302c6a9d84af</v>
      </c>
      <c r="R975" s="6"/>
    </row>
    <row r="976">
      <c r="A976" s="5">
        <f>IFERROR(__xludf.DUMMYFUNCTION("""COMPUTED_VALUE"""),975.0)</f>
        <v>975</v>
      </c>
      <c r="B976" s="6" t="str">
        <f>IFERROR(__xludf.DUMMYFUNCTION("""COMPUTED_VALUE"""),"Analisis Strategi Pemasaran Pada CV Herdhea Batik Solo")</f>
        <v>Analisis Strategi Pemasaran Pada CV Herdhea Batik Solo</v>
      </c>
      <c r="C976" s="7">
        <f>IFERROR(__xludf.DUMMYFUNCTION("""COMPUTED_VALUE"""),2025.0)</f>
        <v>2025</v>
      </c>
      <c r="D976" s="8" t="str">
        <f>IFERROR(__xludf.DUMMYFUNCTION("""COMPUTED_VALUE"""),"2024/2025")</f>
        <v>2024/2025</v>
      </c>
      <c r="E976" s="9">
        <f>IFERROR(__xludf.DUMMYFUNCTION("""COMPUTED_VALUE"""),45729.0)</f>
        <v>45729</v>
      </c>
      <c r="F976" s="5" t="str">
        <f>IFERROR(__xludf.DUMMYFUNCTION("""COMPUTED_VALUE"""),"Genap")</f>
        <v>Genap</v>
      </c>
      <c r="G976" s="5" t="str">
        <f>IFERROR(__xludf.DUMMYFUNCTION("""COMPUTED_VALUE"""),"Manajemen")</f>
        <v>Manajemen</v>
      </c>
      <c r="H976" s="10" t="str">
        <f>IFERROR(__xludf.DUMMYFUNCTION("""COMPUTED_VALUE"""),"Mahasiswa")</f>
        <v>Mahasiswa</v>
      </c>
      <c r="I976" s="6" t="str">
        <f>IFERROR(__xludf.DUMMYFUNCTION("""COMPUTED_VALUE"""),"Sindy Fatmawati")</f>
        <v>Sindy Fatmawati</v>
      </c>
      <c r="J976" s="6" t="str">
        <f>IFERROR(__xludf.DUMMYFUNCTION("""COMPUTED_VALUE"""),"Ari Susanti")</f>
        <v>Ari Susanti</v>
      </c>
      <c r="K976" s="6"/>
      <c r="L976" s="6"/>
      <c r="M976" s="6"/>
      <c r="N976" s="6"/>
      <c r="O976" s="6"/>
      <c r="P976" s="10" t="str">
        <f>IFERROR(__xludf.DUMMYFUNCTION("""COMPUTED_VALUE"""),"Sindy Fatmawati, Ari Susanti")</f>
        <v>Sindy Fatmawati, Ari Susanti</v>
      </c>
      <c r="Q976" s="11" t="str">
        <f>IFERROR(__xludf.DUMMYFUNCTION("""COMPUTED_VALUE"""),"https://repository.stiesurakarta.ac.id/submission/172d09b8-aa20-41b8-838f-a30f4df669f3")</f>
        <v>https://repository.stiesurakarta.ac.id/submission/172d09b8-aa20-41b8-838f-a30f4df669f3</v>
      </c>
      <c r="R976" s="6"/>
    </row>
    <row r="977">
      <c r="A977" s="5">
        <f>IFERROR(__xludf.DUMMYFUNCTION("""COMPUTED_VALUE"""),976.0)</f>
        <v>976</v>
      </c>
      <c r="B977" s="6" t="str">
        <f>IFERROR(__xludf.DUMMYFUNCTION("""COMPUTED_VALUE"""),"Pengaruh Kemudahan Penggunaan, Persepsi Keamanan, dan Kualitas Layanan Terhadap Loyalitas Pelanggan Pengguna M-Banking Brimo Pada Masyarakat di Soloraya.")</f>
        <v>Pengaruh Kemudahan Penggunaan, Persepsi Keamanan, dan Kualitas Layanan Terhadap Loyalitas Pelanggan Pengguna M-Banking Brimo Pada Masyarakat di Soloraya.</v>
      </c>
      <c r="C977" s="7">
        <f>IFERROR(__xludf.DUMMYFUNCTION("""COMPUTED_VALUE"""),2025.0)</f>
        <v>2025</v>
      </c>
      <c r="D977" s="8" t="str">
        <f>IFERROR(__xludf.DUMMYFUNCTION("""COMPUTED_VALUE"""),"2024/2025")</f>
        <v>2024/2025</v>
      </c>
      <c r="E977" s="9">
        <f>IFERROR(__xludf.DUMMYFUNCTION("""COMPUTED_VALUE"""),45730.0)</f>
        <v>45730</v>
      </c>
      <c r="F977" s="5" t="str">
        <f>IFERROR(__xludf.DUMMYFUNCTION("""COMPUTED_VALUE"""),"Genap")</f>
        <v>Genap</v>
      </c>
      <c r="G977" s="5" t="str">
        <f>IFERROR(__xludf.DUMMYFUNCTION("""COMPUTED_VALUE"""),"Manajemen")</f>
        <v>Manajemen</v>
      </c>
      <c r="H977" s="10" t="str">
        <f>IFERROR(__xludf.DUMMYFUNCTION("""COMPUTED_VALUE"""),"Mahasiswa")</f>
        <v>Mahasiswa</v>
      </c>
      <c r="I977" s="6" t="str">
        <f>IFERROR(__xludf.DUMMYFUNCTION("""COMPUTED_VALUE"""),"Cici Dwika Indari")</f>
        <v>Cici Dwika Indari</v>
      </c>
      <c r="J977" s="6" t="str">
        <f>IFERROR(__xludf.DUMMYFUNCTION("""COMPUTED_VALUE"""),"Ari Susanti")</f>
        <v>Ari Susanti</v>
      </c>
      <c r="K977" s="6"/>
      <c r="L977" s="6"/>
      <c r="M977" s="6"/>
      <c r="N977" s="6"/>
      <c r="O977" s="6"/>
      <c r="P977" s="10" t="str">
        <f>IFERROR(__xludf.DUMMYFUNCTION("""COMPUTED_VALUE"""),"Cici Dwika Indari, Ari Susanti")</f>
        <v>Cici Dwika Indari, Ari Susanti</v>
      </c>
      <c r="Q977" s="11" t="str">
        <f>IFERROR(__xludf.DUMMYFUNCTION("""COMPUTED_VALUE"""),"https://repository.stiesurakarta.ac.id/submission/e26de2c0-9eaa-40f9-9336-217a74215d31")</f>
        <v>https://repository.stiesurakarta.ac.id/submission/e26de2c0-9eaa-40f9-9336-217a74215d31</v>
      </c>
      <c r="R977" s="6"/>
    </row>
    <row r="978">
      <c r="A978" s="5">
        <f>IFERROR(__xludf.DUMMYFUNCTION("""COMPUTED_VALUE"""),977.0)</f>
        <v>977</v>
      </c>
      <c r="B978" s="6" t="str">
        <f>IFERROR(__xludf.DUMMYFUNCTION("""COMPUTED_VALUE"""),"Pengaruh Promosi Media Tiktokshop dan Citra Merk Terhadap Keputusan Pembelian Konsumen Produk Skincare The Originote")</f>
        <v>Pengaruh Promosi Media Tiktokshop dan Citra Merk Terhadap Keputusan Pembelian Konsumen Produk Skincare The Originote</v>
      </c>
      <c r="C978" s="7">
        <f>IFERROR(__xludf.DUMMYFUNCTION("""COMPUTED_VALUE"""),2025.0)</f>
        <v>2025</v>
      </c>
      <c r="D978" s="8" t="str">
        <f>IFERROR(__xludf.DUMMYFUNCTION("""COMPUTED_VALUE"""),"2024/2025")</f>
        <v>2024/2025</v>
      </c>
      <c r="E978" s="9">
        <f>IFERROR(__xludf.DUMMYFUNCTION("""COMPUTED_VALUE"""),45734.0)</f>
        <v>45734</v>
      </c>
      <c r="F978" s="5" t="str">
        <f>IFERROR(__xludf.DUMMYFUNCTION("""COMPUTED_VALUE"""),"Genap")</f>
        <v>Genap</v>
      </c>
      <c r="G978" s="5" t="str">
        <f>IFERROR(__xludf.DUMMYFUNCTION("""COMPUTED_VALUE"""),"Manajemen")</f>
        <v>Manajemen</v>
      </c>
      <c r="H978" s="10" t="str">
        <f>IFERROR(__xludf.DUMMYFUNCTION("""COMPUTED_VALUE"""),"Mahasiswa")</f>
        <v>Mahasiswa</v>
      </c>
      <c r="I978" s="6" t="str">
        <f>IFERROR(__xludf.DUMMYFUNCTION("""COMPUTED_VALUE"""),"Lisna Zahwana Sumaryaningrum")</f>
        <v>Lisna Zahwana Sumaryaningrum</v>
      </c>
      <c r="J978" s="6" t="str">
        <f>IFERROR(__xludf.DUMMYFUNCTION("""COMPUTED_VALUE"""),"Heny Kurnianingsih")</f>
        <v>Heny Kurnianingsih</v>
      </c>
      <c r="K978" s="6"/>
      <c r="L978" s="6"/>
      <c r="M978" s="6"/>
      <c r="N978" s="6"/>
      <c r="O978" s="6"/>
      <c r="P978" s="10" t="str">
        <f>IFERROR(__xludf.DUMMYFUNCTION("""COMPUTED_VALUE"""),"Lisna Zahwana Sumaryaningrum, Heny Kurnianingsih")</f>
        <v>Lisna Zahwana Sumaryaningrum, Heny Kurnianingsih</v>
      </c>
      <c r="Q978" s="11" t="str">
        <f>IFERROR(__xludf.DUMMYFUNCTION("""COMPUTED_VALUE"""),"https://repository.stiesurakarta.ac.id/submission/410ff77e-ff9a-4ec2-9a1b-744206e36046")</f>
        <v>https://repository.stiesurakarta.ac.id/submission/410ff77e-ff9a-4ec2-9a1b-744206e36046</v>
      </c>
      <c r="R978" s="6"/>
    </row>
    <row r="979">
      <c r="A979" s="5">
        <f>IFERROR(__xludf.DUMMYFUNCTION("""COMPUTED_VALUE"""),978.0)</f>
        <v>978</v>
      </c>
      <c r="B979" s="6" t="str">
        <f>IFERROR(__xludf.DUMMYFUNCTION("""COMPUTED_VALUE"""),"ANALISIS PENGARUH ONLINE CUSTOMER REVIEW, DISKON, DAN GRATIS ONGKIR TERHADAP KEPUTUSAN PEMBELIAN DI MARKETPLACE SHOPEE DI WILAYAH SOLO RAYA")</f>
        <v>ANALISIS PENGARUH ONLINE CUSTOMER REVIEW, DISKON, DAN GRATIS ONGKIR TERHADAP KEPUTUSAN PEMBELIAN DI MARKETPLACE SHOPEE DI WILAYAH SOLO RAYA</v>
      </c>
      <c r="C979" s="7">
        <f>IFERROR(__xludf.DUMMYFUNCTION("""COMPUTED_VALUE"""),2025.0)</f>
        <v>2025</v>
      </c>
      <c r="D979" s="8" t="str">
        <f>IFERROR(__xludf.DUMMYFUNCTION("""COMPUTED_VALUE"""),"2024/2025")</f>
        <v>2024/2025</v>
      </c>
      <c r="E979" s="9">
        <f>IFERROR(__xludf.DUMMYFUNCTION("""COMPUTED_VALUE"""),45734.0)</f>
        <v>45734</v>
      </c>
      <c r="F979" s="5" t="str">
        <f>IFERROR(__xludf.DUMMYFUNCTION("""COMPUTED_VALUE"""),"Genap")</f>
        <v>Genap</v>
      </c>
      <c r="G979" s="5" t="str">
        <f>IFERROR(__xludf.DUMMYFUNCTION("""COMPUTED_VALUE"""),"Manajemen")</f>
        <v>Manajemen</v>
      </c>
      <c r="H979" s="10" t="str">
        <f>IFERROR(__xludf.DUMMYFUNCTION("""COMPUTED_VALUE"""),"Mahasiswa")</f>
        <v>Mahasiswa</v>
      </c>
      <c r="I979" s="6" t="str">
        <f>IFERROR(__xludf.DUMMYFUNCTION("""COMPUTED_VALUE"""),"Anjani Rahmawati")</f>
        <v>Anjani Rahmawati</v>
      </c>
      <c r="J979" s="6" t="str">
        <f>IFERROR(__xludf.DUMMYFUNCTION("""COMPUTED_VALUE"""),"Budi istiyanto")</f>
        <v>Budi istiyanto</v>
      </c>
      <c r="K979" s="6"/>
      <c r="L979" s="6"/>
      <c r="M979" s="6"/>
      <c r="N979" s="6"/>
      <c r="O979" s="6"/>
      <c r="P979" s="10" t="str">
        <f>IFERROR(__xludf.DUMMYFUNCTION("""COMPUTED_VALUE"""),"Anjani Rahmawati, Budi istiyanto")</f>
        <v>Anjani Rahmawati, Budi istiyanto</v>
      </c>
      <c r="Q979" s="11" t="str">
        <f>IFERROR(__xludf.DUMMYFUNCTION("""COMPUTED_VALUE"""),"https://wiranomika.id/index.php/wiranomika/article/view/177")</f>
        <v>https://wiranomika.id/index.php/wiranomika/article/view/177</v>
      </c>
      <c r="R979" s="6"/>
    </row>
    <row r="980">
      <c r="A980" s="5">
        <f>IFERROR(__xludf.DUMMYFUNCTION("""COMPUTED_VALUE"""),979.0)</f>
        <v>979</v>
      </c>
      <c r="B980" s="6" t="str">
        <f>IFERROR(__xludf.DUMMYFUNCTION("""COMPUTED_VALUE"""),"Analisis Persepsi Kemudahan, Persepsi Kemanfaatan dan Persepsi Risiko Terhadap Keputusan Penggunaan Qris Pada Gen Z di Surakarta")</f>
        <v>Analisis Persepsi Kemudahan, Persepsi Kemanfaatan dan Persepsi Risiko Terhadap Keputusan Penggunaan Qris Pada Gen Z di Surakarta</v>
      </c>
      <c r="C980" s="7">
        <f>IFERROR(__xludf.DUMMYFUNCTION("""COMPUTED_VALUE"""),2025.0)</f>
        <v>2025</v>
      </c>
      <c r="D980" s="8" t="str">
        <f>IFERROR(__xludf.DUMMYFUNCTION("""COMPUTED_VALUE"""),"2024/2025")</f>
        <v>2024/2025</v>
      </c>
      <c r="E980" s="9">
        <f>IFERROR(__xludf.DUMMYFUNCTION("""COMPUTED_VALUE"""),45734.0)</f>
        <v>45734</v>
      </c>
      <c r="F980" s="5" t="str">
        <f>IFERROR(__xludf.DUMMYFUNCTION("""COMPUTED_VALUE"""),"Genap")</f>
        <v>Genap</v>
      </c>
      <c r="G980" s="5" t="str">
        <f>IFERROR(__xludf.DUMMYFUNCTION("""COMPUTED_VALUE"""),"Akuntansi")</f>
        <v>Akuntansi</v>
      </c>
      <c r="H980" s="10" t="str">
        <f>IFERROR(__xludf.DUMMYFUNCTION("""COMPUTED_VALUE"""),"Mahasiswa")</f>
        <v>Mahasiswa</v>
      </c>
      <c r="I980" s="6" t="str">
        <f>IFERROR(__xludf.DUMMYFUNCTION("""COMPUTED_VALUE"""),"Ellisa Febriana Putri Cahyaningtyas")</f>
        <v>Ellisa Febriana Putri Cahyaningtyas</v>
      </c>
      <c r="J980" s="6" t="str">
        <f>IFERROR(__xludf.DUMMYFUNCTION("""COMPUTED_VALUE"""),"Dewi Ika Octavia")</f>
        <v>Dewi Ika Octavia</v>
      </c>
      <c r="K980" s="6"/>
      <c r="L980" s="6"/>
      <c r="M980" s="6"/>
      <c r="N980" s="6"/>
      <c r="O980" s="6"/>
      <c r="P980" s="10" t="str">
        <f>IFERROR(__xludf.DUMMYFUNCTION("""COMPUTED_VALUE"""),"Ellisa Febriana Putri Cahyaningtyas, Dewi Ika Octavia")</f>
        <v>Ellisa Febriana Putri Cahyaningtyas, Dewi Ika Octavia</v>
      </c>
      <c r="Q980" s="11" t="str">
        <f>IFERROR(__xludf.DUMMYFUNCTION("""COMPUTED_VALUE"""),"https://repository.stiesurakarta.ac.id/submission/9539a614-9171-47da-ad5d-756674a58a7a")</f>
        <v>https://repository.stiesurakarta.ac.id/submission/9539a614-9171-47da-ad5d-756674a58a7a</v>
      </c>
      <c r="R980" s="6"/>
    </row>
    <row r="981">
      <c r="A981" s="5">
        <f>IFERROR(__xludf.DUMMYFUNCTION("""COMPUTED_VALUE"""),980.0)</f>
        <v>980</v>
      </c>
      <c r="B981" s="6" t="str">
        <f>IFERROR(__xludf.DUMMYFUNCTION("""COMPUTED_VALUE"""),"Penggunaan Sistem Informasi Akuntansi Berdasarkan Pendidikan dan Pengetahuan Akuntansi Pada Industri Jasa UMKM Bengkel Jajar Manual Tech Surakarta")</f>
        <v>Penggunaan Sistem Informasi Akuntansi Berdasarkan Pendidikan dan Pengetahuan Akuntansi Pada Industri Jasa UMKM Bengkel Jajar Manual Tech Surakarta</v>
      </c>
      <c r="C981" s="7">
        <f>IFERROR(__xludf.DUMMYFUNCTION("""COMPUTED_VALUE"""),2025.0)</f>
        <v>2025</v>
      </c>
      <c r="D981" s="8" t="str">
        <f>IFERROR(__xludf.DUMMYFUNCTION("""COMPUTED_VALUE"""),"2024/2025")</f>
        <v>2024/2025</v>
      </c>
      <c r="E981" s="9">
        <f>IFERROR(__xludf.DUMMYFUNCTION("""COMPUTED_VALUE"""),45734.0)</f>
        <v>45734</v>
      </c>
      <c r="F981" s="5" t="str">
        <f>IFERROR(__xludf.DUMMYFUNCTION("""COMPUTED_VALUE"""),"Genap")</f>
        <v>Genap</v>
      </c>
      <c r="G981" s="5" t="str">
        <f>IFERROR(__xludf.DUMMYFUNCTION("""COMPUTED_VALUE"""),"Manajemen")</f>
        <v>Manajemen</v>
      </c>
      <c r="H981" s="10" t="str">
        <f>IFERROR(__xludf.DUMMYFUNCTION("""COMPUTED_VALUE"""),"Mahasiswa")</f>
        <v>Mahasiswa</v>
      </c>
      <c r="I981" s="6" t="str">
        <f>IFERROR(__xludf.DUMMYFUNCTION("""COMPUTED_VALUE"""),"Celsy Putri Andini")</f>
        <v>Celsy Putri Andini</v>
      </c>
      <c r="J981" s="6" t="str">
        <f>IFERROR(__xludf.DUMMYFUNCTION("""COMPUTED_VALUE"""),"Ari Susanti")</f>
        <v>Ari Susanti</v>
      </c>
      <c r="K981" s="6"/>
      <c r="L981" s="6"/>
      <c r="M981" s="6"/>
      <c r="N981" s="6"/>
      <c r="O981" s="6"/>
      <c r="P981" s="10" t="str">
        <f>IFERROR(__xludf.DUMMYFUNCTION("""COMPUTED_VALUE"""),"Celsy Putri Andini, Ari Susanti")</f>
        <v>Celsy Putri Andini, Ari Susanti</v>
      </c>
      <c r="Q981" s="11" t="str">
        <f>IFERROR(__xludf.DUMMYFUNCTION("""COMPUTED_VALUE"""),"https://repository.stiesurakarta.ac.id/submission/a46985e4-e6b2-414d-925f-ebafed119c44")</f>
        <v>https://repository.stiesurakarta.ac.id/submission/a46985e4-e6b2-414d-925f-ebafed119c44</v>
      </c>
      <c r="R981" s="6"/>
    </row>
    <row r="982">
      <c r="A982" s="5">
        <f>IFERROR(__xludf.DUMMYFUNCTION("""COMPUTED_VALUE"""),981.0)</f>
        <v>981</v>
      </c>
      <c r="B982" s="6" t="str">
        <f>IFERROR(__xludf.DUMMYFUNCTION("""COMPUTED_VALUE"""),"ANALISIS KUALITAS PRODUK DAN KUALITAS PELAYANAN HOLLAND BAKERY SE-SOLO RAYA SERTA PENGARUHNYA TERHADAP KEPUTUSAN PEMBELIAN PELANGGAN")</f>
        <v>ANALISIS KUALITAS PRODUK DAN KUALITAS PELAYANAN HOLLAND BAKERY SE-SOLO RAYA SERTA PENGARUHNYA TERHADAP KEPUTUSAN PEMBELIAN PELANGGAN</v>
      </c>
      <c r="C982" s="7">
        <f>IFERROR(__xludf.DUMMYFUNCTION("""COMPUTED_VALUE"""),2025.0)</f>
        <v>2025</v>
      </c>
      <c r="D982" s="8" t="str">
        <f>IFERROR(__xludf.DUMMYFUNCTION("""COMPUTED_VALUE"""),"2024/2025")</f>
        <v>2024/2025</v>
      </c>
      <c r="E982" s="9">
        <f>IFERROR(__xludf.DUMMYFUNCTION("""COMPUTED_VALUE"""),45735.0)</f>
        <v>45735</v>
      </c>
      <c r="F982" s="5" t="str">
        <f>IFERROR(__xludf.DUMMYFUNCTION("""COMPUTED_VALUE"""),"Genap")</f>
        <v>Genap</v>
      </c>
      <c r="G982" s="5" t="str">
        <f>IFERROR(__xludf.DUMMYFUNCTION("""COMPUTED_VALUE"""),"Manajemen")</f>
        <v>Manajemen</v>
      </c>
      <c r="H982" s="10" t="str">
        <f>IFERROR(__xludf.DUMMYFUNCTION("""COMPUTED_VALUE"""),"Mahasiswa")</f>
        <v>Mahasiswa</v>
      </c>
      <c r="I982" s="6" t="str">
        <f>IFERROR(__xludf.DUMMYFUNCTION("""COMPUTED_VALUE"""),"Syahnaf Putri Revilia Sholaimah")</f>
        <v>Syahnaf Putri Revilia Sholaimah</v>
      </c>
      <c r="J982" s="6" t="str">
        <f>IFERROR(__xludf.DUMMYFUNCTION("""COMPUTED_VALUE"""),"Budi istiyanto")</f>
        <v>Budi istiyanto</v>
      </c>
      <c r="K982" s="6"/>
      <c r="L982" s="6"/>
      <c r="M982" s="6"/>
      <c r="N982" s="6"/>
      <c r="O982" s="6"/>
      <c r="P982" s="10" t="str">
        <f>IFERROR(__xludf.DUMMYFUNCTION("""COMPUTED_VALUE"""),"Syahnaf Putri Revilia Sholaimah, Budi istiyanto")</f>
        <v>Syahnaf Putri Revilia Sholaimah, Budi istiyanto</v>
      </c>
      <c r="Q982" s="11" t="str">
        <f>IFERROR(__xludf.DUMMYFUNCTION("""COMPUTED_VALUE"""),"https://wiranomika.id/wiranomika/article/view/175")</f>
        <v>https://wiranomika.id/wiranomika/article/view/175</v>
      </c>
      <c r="R982" s="6"/>
    </row>
    <row r="983">
      <c r="A983" s="5">
        <f>IFERROR(__xludf.DUMMYFUNCTION("""COMPUTED_VALUE"""),982.0)</f>
        <v>982</v>
      </c>
      <c r="B983" s="6" t="str">
        <f>IFERROR(__xludf.DUMMYFUNCTION("""COMPUTED_VALUE"""),"ANALISIS EFEKTIVITAS KONTEN MARKETING PADA SOSIAL MEDIA INSTAGRAM TERHADAP MINAT BELI PRODUK KACAMATA (Studi Deskriptif Pada Akun @mitra_lensa_kartasura)")</f>
        <v>ANALISIS EFEKTIVITAS KONTEN MARKETING PADA SOSIAL MEDIA INSTAGRAM TERHADAP MINAT BELI PRODUK KACAMATA (Studi Deskriptif Pada Akun @mitra_lensa_kartasura)</v>
      </c>
      <c r="C983" s="7">
        <f>IFERROR(__xludf.DUMMYFUNCTION("""COMPUTED_VALUE"""),2025.0)</f>
        <v>2025</v>
      </c>
      <c r="D983" s="8" t="str">
        <f>IFERROR(__xludf.DUMMYFUNCTION("""COMPUTED_VALUE"""),"2024/2025")</f>
        <v>2024/2025</v>
      </c>
      <c r="E983" s="9">
        <f>IFERROR(__xludf.DUMMYFUNCTION("""COMPUTED_VALUE"""),45736.0)</f>
        <v>45736</v>
      </c>
      <c r="F983" s="5" t="str">
        <f>IFERROR(__xludf.DUMMYFUNCTION("""COMPUTED_VALUE"""),"Genap")</f>
        <v>Genap</v>
      </c>
      <c r="G983" s="5" t="str">
        <f>IFERROR(__xludf.DUMMYFUNCTION("""COMPUTED_VALUE"""),"Manajemen")</f>
        <v>Manajemen</v>
      </c>
      <c r="H983" s="10" t="str">
        <f>IFERROR(__xludf.DUMMYFUNCTION("""COMPUTED_VALUE"""),"Mahasiswa")</f>
        <v>Mahasiswa</v>
      </c>
      <c r="I983" s="6" t="str">
        <f>IFERROR(__xludf.DUMMYFUNCTION("""COMPUTED_VALUE"""),"IMANIAR KAUTSARIN")</f>
        <v>IMANIAR KAUTSARIN</v>
      </c>
      <c r="J983" s="6" t="str">
        <f>IFERROR(__xludf.DUMMYFUNCTION("""COMPUTED_VALUE"""),"Satria Veriansyah Wiguna")</f>
        <v>Satria Veriansyah Wiguna</v>
      </c>
      <c r="K983" s="6"/>
      <c r="L983" s="6"/>
      <c r="M983" s="6"/>
      <c r="N983" s="6"/>
      <c r="O983" s="6"/>
      <c r="P983" s="10" t="str">
        <f>IFERROR(__xludf.DUMMYFUNCTION("""COMPUTED_VALUE"""),"IMANIAR KAUTSARIN, Satria Veriansyah Wiguna")</f>
        <v>IMANIAR KAUTSARIN, Satria Veriansyah Wiguna</v>
      </c>
      <c r="Q983" s="11" t="str">
        <f>IFERROR(__xludf.DUMMYFUNCTION("""COMPUTED_VALUE"""),"https://repository.stiesurakarta.ac.id/submission/9dfe6dc1-6a65-4113-bfe5-adb34eff5852")</f>
        <v>https://repository.stiesurakarta.ac.id/submission/9dfe6dc1-6a65-4113-bfe5-adb34eff5852</v>
      </c>
      <c r="R983" s="6"/>
    </row>
    <row r="984">
      <c r="A984" s="5">
        <f>IFERROR(__xludf.DUMMYFUNCTION("""COMPUTED_VALUE"""),983.0)</f>
        <v>983</v>
      </c>
      <c r="B984" s="6" t="str">
        <f>IFERROR(__xludf.DUMMYFUNCTION("""COMPUTED_VALUE"""),"Pengaruh Social Media Marketing Instagram, Brand Image Terhadap Keputusan Pembelian Pada produk Solosneakers Di Surakarta")</f>
        <v>Pengaruh Social Media Marketing Instagram, Brand Image Terhadap Keputusan Pembelian Pada produk Solosneakers Di Surakarta</v>
      </c>
      <c r="C984" s="7">
        <f>IFERROR(__xludf.DUMMYFUNCTION("""COMPUTED_VALUE"""),2025.0)</f>
        <v>2025</v>
      </c>
      <c r="D984" s="8" t="str">
        <f>IFERROR(__xludf.DUMMYFUNCTION("""COMPUTED_VALUE"""),"2024/2025")</f>
        <v>2024/2025</v>
      </c>
      <c r="E984" s="9">
        <f>IFERROR(__xludf.DUMMYFUNCTION("""COMPUTED_VALUE"""),45737.0)</f>
        <v>45737</v>
      </c>
      <c r="F984" s="5" t="str">
        <f>IFERROR(__xludf.DUMMYFUNCTION("""COMPUTED_VALUE"""),"Genap")</f>
        <v>Genap</v>
      </c>
      <c r="G984" s="5" t="str">
        <f>IFERROR(__xludf.DUMMYFUNCTION("""COMPUTED_VALUE"""),"Manajemen")</f>
        <v>Manajemen</v>
      </c>
      <c r="H984" s="10" t="str">
        <f>IFERROR(__xludf.DUMMYFUNCTION("""COMPUTED_VALUE"""),"Mahasiswa")</f>
        <v>Mahasiswa</v>
      </c>
      <c r="I984" s="6" t="str">
        <f>IFERROR(__xludf.DUMMYFUNCTION("""COMPUTED_VALUE"""),"Yusuf Rieskiyanto")</f>
        <v>Yusuf Rieskiyanto</v>
      </c>
      <c r="J984" s="6" t="str">
        <f>IFERROR(__xludf.DUMMYFUNCTION("""COMPUTED_VALUE"""),"Muhammad Syihabuddin")</f>
        <v>Muhammad Syihabuddin</v>
      </c>
      <c r="K984" s="6"/>
      <c r="L984" s="6"/>
      <c r="M984" s="6"/>
      <c r="N984" s="6"/>
      <c r="O984" s="6"/>
      <c r="P984" s="10" t="str">
        <f>IFERROR(__xludf.DUMMYFUNCTION("""COMPUTED_VALUE"""),"Yusuf Rieskiyanto, Muhammad Syihabuddin")</f>
        <v>Yusuf Rieskiyanto, Muhammad Syihabuddin</v>
      </c>
      <c r="Q984" s="11" t="str">
        <f>IFERROR(__xludf.DUMMYFUNCTION("""COMPUTED_VALUE"""),"https://repository.stiesurakarta.ac.id/submission/88ce95ea-2bdc-433a-aa46-43f7282e7660")</f>
        <v>https://repository.stiesurakarta.ac.id/submission/88ce95ea-2bdc-433a-aa46-43f7282e7660</v>
      </c>
      <c r="R984" s="6"/>
    </row>
    <row r="985">
      <c r="A985" s="5">
        <f>IFERROR(__xludf.DUMMYFUNCTION("""COMPUTED_VALUE"""),984.0)</f>
        <v>984</v>
      </c>
      <c r="B985" s="6" t="str">
        <f>IFERROR(__xludf.DUMMYFUNCTION("""COMPUTED_VALUE"""),"Penggunaan Akun Instagram Sebagai Sarana Media Informasi Wisata Kuliner di Kota Solo (Studi Followers Akun @Carikulinersolo)")</f>
        <v>Penggunaan Akun Instagram Sebagai Sarana Media Informasi Wisata Kuliner di Kota Solo (Studi Followers Akun @Carikulinersolo)</v>
      </c>
      <c r="C985" s="7">
        <f>IFERROR(__xludf.DUMMYFUNCTION("""COMPUTED_VALUE"""),2025.0)</f>
        <v>2025</v>
      </c>
      <c r="D985" s="8" t="str">
        <f>IFERROR(__xludf.DUMMYFUNCTION("""COMPUTED_VALUE"""),"2024/2025")</f>
        <v>2024/2025</v>
      </c>
      <c r="E985" s="9">
        <f>IFERROR(__xludf.DUMMYFUNCTION("""COMPUTED_VALUE"""),45740.0)</f>
        <v>45740</v>
      </c>
      <c r="F985" s="5" t="str">
        <f>IFERROR(__xludf.DUMMYFUNCTION("""COMPUTED_VALUE"""),"Genap")</f>
        <v>Genap</v>
      </c>
      <c r="G985" s="5" t="str">
        <f>IFERROR(__xludf.DUMMYFUNCTION("""COMPUTED_VALUE"""),"Manajemen")</f>
        <v>Manajemen</v>
      </c>
      <c r="H985" s="10" t="str">
        <f>IFERROR(__xludf.DUMMYFUNCTION("""COMPUTED_VALUE"""),"Mahasiswa")</f>
        <v>Mahasiswa</v>
      </c>
      <c r="I985" s="6" t="str">
        <f>IFERROR(__xludf.DUMMYFUNCTION("""COMPUTED_VALUE"""),"Ine Pramesti")</f>
        <v>Ine Pramesti</v>
      </c>
      <c r="J985" s="6" t="str">
        <f>IFERROR(__xludf.DUMMYFUNCTION("""COMPUTED_VALUE"""),"Satria Veriansyah Wiguna")</f>
        <v>Satria Veriansyah Wiguna</v>
      </c>
      <c r="K985" s="6"/>
      <c r="L985" s="6"/>
      <c r="M985" s="6"/>
      <c r="N985" s="6"/>
      <c r="O985" s="6"/>
      <c r="P985" s="10" t="str">
        <f>IFERROR(__xludf.DUMMYFUNCTION("""COMPUTED_VALUE"""),"Ine Pramesti, Satria Veriansyah Wiguna")</f>
        <v>Ine Pramesti, Satria Veriansyah Wiguna</v>
      </c>
      <c r="Q985" s="11" t="str">
        <f>IFERROR(__xludf.DUMMYFUNCTION("""COMPUTED_VALUE"""),"https://repository.stiesurakarta.ac.id/submission/e154c1a1-cfd3-4c09-9f03-480f290e7cb2")</f>
        <v>https://repository.stiesurakarta.ac.id/submission/e154c1a1-cfd3-4c09-9f03-480f290e7cb2</v>
      </c>
      <c r="R985" s="6"/>
    </row>
    <row r="986">
      <c r="A986" s="5">
        <f>IFERROR(__xludf.DUMMYFUNCTION("""COMPUTED_VALUE"""),985.0)</f>
        <v>985</v>
      </c>
      <c r="B986" s="6" t="str">
        <f>IFERROR(__xludf.DUMMYFUNCTION("""COMPUTED_VALUE"""),"Efektivitas Penggunaan Affiliate Terhadap Pengaruh Keputusan Pembelian di Tiktok Shop Pada Generasi Z di Solo Raya")</f>
        <v>Efektivitas Penggunaan Affiliate Terhadap Pengaruh Keputusan Pembelian di Tiktok Shop Pada Generasi Z di Solo Raya</v>
      </c>
      <c r="C986" s="7">
        <f>IFERROR(__xludf.DUMMYFUNCTION("""COMPUTED_VALUE"""),2025.0)</f>
        <v>2025</v>
      </c>
      <c r="D986" s="8" t="str">
        <f>IFERROR(__xludf.DUMMYFUNCTION("""COMPUTED_VALUE"""),"2024/2025")</f>
        <v>2024/2025</v>
      </c>
      <c r="E986" s="9">
        <f>IFERROR(__xludf.DUMMYFUNCTION("""COMPUTED_VALUE"""),45741.0)</f>
        <v>45741</v>
      </c>
      <c r="F986" s="5" t="str">
        <f>IFERROR(__xludf.DUMMYFUNCTION("""COMPUTED_VALUE"""),"Genap")</f>
        <v>Genap</v>
      </c>
      <c r="G986" s="5" t="str">
        <f>IFERROR(__xludf.DUMMYFUNCTION("""COMPUTED_VALUE"""),"Manajemen")</f>
        <v>Manajemen</v>
      </c>
      <c r="H986" s="10" t="str">
        <f>IFERROR(__xludf.DUMMYFUNCTION("""COMPUTED_VALUE"""),"Mahasiswa")</f>
        <v>Mahasiswa</v>
      </c>
      <c r="I986" s="6" t="str">
        <f>IFERROR(__xludf.DUMMYFUNCTION("""COMPUTED_VALUE"""),"Bayu Aji Margono")</f>
        <v>Bayu Aji Margono</v>
      </c>
      <c r="J986" s="6" t="str">
        <f>IFERROR(__xludf.DUMMYFUNCTION("""COMPUTED_VALUE"""),"Satria Veriansyah Wiguna")</f>
        <v>Satria Veriansyah Wiguna</v>
      </c>
      <c r="K986" s="6"/>
      <c r="L986" s="6"/>
      <c r="M986" s="6"/>
      <c r="N986" s="6"/>
      <c r="O986" s="6"/>
      <c r="P986" s="10" t="str">
        <f>IFERROR(__xludf.DUMMYFUNCTION("""COMPUTED_VALUE"""),"Bayu Aji Margono, Satria Veriansyah Wiguna")</f>
        <v>Bayu Aji Margono, Satria Veriansyah Wiguna</v>
      </c>
      <c r="Q986" s="11" t="str">
        <f>IFERROR(__xludf.DUMMYFUNCTION("""COMPUTED_VALUE"""),"https://repository.stiesurakarta.ac.id/submission/6f70b8bc-13e4-4960-a1c0-b1c9b863a46e")</f>
        <v>https://repository.stiesurakarta.ac.id/submission/6f70b8bc-13e4-4960-a1c0-b1c9b863a46e</v>
      </c>
      <c r="R986" s="6"/>
    </row>
    <row r="987">
      <c r="A987" s="5">
        <f>IFERROR(__xludf.DUMMYFUNCTION("""COMPUTED_VALUE"""),986.0)</f>
        <v>986</v>
      </c>
      <c r="B987" s="6" t="str">
        <f>IFERROR(__xludf.DUMMYFUNCTION("""COMPUTED_VALUE"""),"Pengaruh Customer Review , Kualitas Pelayanan dan Harga Terhadap Minat Sewa Kostum Cosplay (Studi Pada Customer Sewa Kostum ""Naoko_Rentcos"")")</f>
        <v>Pengaruh Customer Review , Kualitas Pelayanan dan Harga Terhadap Minat Sewa Kostum Cosplay (Studi Pada Customer Sewa Kostum "Naoko_Rentcos")</v>
      </c>
      <c r="C987" s="7">
        <f>IFERROR(__xludf.DUMMYFUNCTION("""COMPUTED_VALUE"""),2025.0)</f>
        <v>2025</v>
      </c>
      <c r="D987" s="8" t="str">
        <f>IFERROR(__xludf.DUMMYFUNCTION("""COMPUTED_VALUE"""),"2024/2025")</f>
        <v>2024/2025</v>
      </c>
      <c r="E987" s="9">
        <f>IFERROR(__xludf.DUMMYFUNCTION("""COMPUTED_VALUE"""),45741.0)</f>
        <v>45741</v>
      </c>
      <c r="F987" s="5" t="str">
        <f>IFERROR(__xludf.DUMMYFUNCTION("""COMPUTED_VALUE"""),"Genap")</f>
        <v>Genap</v>
      </c>
      <c r="G987" s="5" t="str">
        <f>IFERROR(__xludf.DUMMYFUNCTION("""COMPUTED_VALUE"""),"Manajemen")</f>
        <v>Manajemen</v>
      </c>
      <c r="H987" s="10" t="str">
        <f>IFERROR(__xludf.DUMMYFUNCTION("""COMPUTED_VALUE"""),"Mahasiswa")</f>
        <v>Mahasiswa</v>
      </c>
      <c r="I987" s="6" t="str">
        <f>IFERROR(__xludf.DUMMYFUNCTION("""COMPUTED_VALUE"""),"Indriana Fitriani Lestari")</f>
        <v>Indriana Fitriani Lestari</v>
      </c>
      <c r="J987" s="6" t="str">
        <f>IFERROR(__xludf.DUMMYFUNCTION("""COMPUTED_VALUE"""),"Muhammad Syihabuddin")</f>
        <v>Muhammad Syihabuddin</v>
      </c>
      <c r="K987" s="6"/>
      <c r="L987" s="6"/>
      <c r="M987" s="6"/>
      <c r="N987" s="6"/>
      <c r="O987" s="6"/>
      <c r="P987" s="10" t="str">
        <f>IFERROR(__xludf.DUMMYFUNCTION("""COMPUTED_VALUE"""),"Indriana Fitriani Lestari, Muhammad Syihabuddin")</f>
        <v>Indriana Fitriani Lestari, Muhammad Syihabuddin</v>
      </c>
      <c r="Q987" s="11" t="str">
        <f>IFERROR(__xludf.DUMMYFUNCTION("""COMPUTED_VALUE"""),"https://repository.stiesurakarta.ac.id/submission/d03c0139-d517-43ee-b6b7-210dc867ee2f")</f>
        <v>https://repository.stiesurakarta.ac.id/submission/d03c0139-d517-43ee-b6b7-210dc867ee2f</v>
      </c>
      <c r="R987" s="6"/>
    </row>
    <row r="988">
      <c r="A988" s="5">
        <f>IFERROR(__xludf.DUMMYFUNCTION("""COMPUTED_VALUE"""),987.0)</f>
        <v>987</v>
      </c>
      <c r="B988" s="6" t="str">
        <f>IFERROR(__xludf.DUMMYFUNCTION("""COMPUTED_VALUE"""),"Analisis Biaya Produksi dan Biaya Penjualan Dalam Meningkatkan Laba Bersih : Studi Kasus Pada CV. XYZ")</f>
        <v>Analisis Biaya Produksi dan Biaya Penjualan Dalam Meningkatkan Laba Bersih : Studi Kasus Pada CV. XYZ</v>
      </c>
      <c r="C988" s="7">
        <f>IFERROR(__xludf.DUMMYFUNCTION("""COMPUTED_VALUE"""),2025.0)</f>
        <v>2025</v>
      </c>
      <c r="D988" s="8" t="str">
        <f>IFERROR(__xludf.DUMMYFUNCTION("""COMPUTED_VALUE"""),"2024/2025")</f>
        <v>2024/2025</v>
      </c>
      <c r="E988" s="9">
        <f>IFERROR(__xludf.DUMMYFUNCTION("""COMPUTED_VALUE"""),45741.0)</f>
        <v>45741</v>
      </c>
      <c r="F988" s="5" t="str">
        <f>IFERROR(__xludf.DUMMYFUNCTION("""COMPUTED_VALUE"""),"Genap")</f>
        <v>Genap</v>
      </c>
      <c r="G988" s="5" t="str">
        <f>IFERROR(__xludf.DUMMYFUNCTION("""COMPUTED_VALUE"""),"Manajemen")</f>
        <v>Manajemen</v>
      </c>
      <c r="H988" s="10" t="str">
        <f>IFERROR(__xludf.DUMMYFUNCTION("""COMPUTED_VALUE"""),"Mahasiswa")</f>
        <v>Mahasiswa</v>
      </c>
      <c r="I988" s="6" t="str">
        <f>IFERROR(__xludf.DUMMYFUNCTION("""COMPUTED_VALUE"""),"Agung Laksono")</f>
        <v>Agung Laksono</v>
      </c>
      <c r="J988" s="6" t="str">
        <f>IFERROR(__xludf.DUMMYFUNCTION("""COMPUTED_VALUE"""),"Ari Susanti")</f>
        <v>Ari Susanti</v>
      </c>
      <c r="K988" s="6"/>
      <c r="L988" s="6"/>
      <c r="M988" s="6"/>
      <c r="N988" s="6"/>
      <c r="O988" s="6"/>
      <c r="P988" s="10" t="str">
        <f>IFERROR(__xludf.DUMMYFUNCTION("""COMPUTED_VALUE"""),"Agung Laksono, Ari Susanti")</f>
        <v>Agung Laksono, Ari Susanti</v>
      </c>
      <c r="Q988" s="11" t="str">
        <f>IFERROR(__xludf.DUMMYFUNCTION("""COMPUTED_VALUE"""),"https://repository.stiesurakarta.ac.id/submission/3dac7607-276b-48f5-8b67-c0d36b8aa68f")</f>
        <v>https://repository.stiesurakarta.ac.id/submission/3dac7607-276b-48f5-8b67-c0d36b8aa68f</v>
      </c>
      <c r="R988" s="6"/>
    </row>
    <row r="989">
      <c r="A989" s="5">
        <f>IFERROR(__xludf.DUMMYFUNCTION("""COMPUTED_VALUE"""),988.0)</f>
        <v>988</v>
      </c>
      <c r="B989" s="6" t="str">
        <f>IFERROR(__xludf.DUMMYFUNCTION("""COMPUTED_VALUE"""),"Faktor – Faktor Yang Mempengaruhi Penjualan UMKM Gorden di Kabupaten Boyolali")</f>
        <v>Faktor – Faktor Yang Mempengaruhi Penjualan UMKM Gorden di Kabupaten Boyolali</v>
      </c>
      <c r="C989" s="7">
        <f>IFERROR(__xludf.DUMMYFUNCTION("""COMPUTED_VALUE"""),2025.0)</f>
        <v>2025</v>
      </c>
      <c r="D989" s="8" t="str">
        <f>IFERROR(__xludf.DUMMYFUNCTION("""COMPUTED_VALUE"""),"2024/2025")</f>
        <v>2024/2025</v>
      </c>
      <c r="E989" s="9">
        <f>IFERROR(__xludf.DUMMYFUNCTION("""COMPUTED_VALUE"""),45741.0)</f>
        <v>45741</v>
      </c>
      <c r="F989" s="5" t="str">
        <f>IFERROR(__xludf.DUMMYFUNCTION("""COMPUTED_VALUE"""),"Genap")</f>
        <v>Genap</v>
      </c>
      <c r="G989" s="5" t="str">
        <f>IFERROR(__xludf.DUMMYFUNCTION("""COMPUTED_VALUE"""),"Manajemen")</f>
        <v>Manajemen</v>
      </c>
      <c r="H989" s="10" t="str">
        <f>IFERROR(__xludf.DUMMYFUNCTION("""COMPUTED_VALUE"""),"Mahasiswa")</f>
        <v>Mahasiswa</v>
      </c>
      <c r="I989" s="6" t="str">
        <f>IFERROR(__xludf.DUMMYFUNCTION("""COMPUTED_VALUE"""),"Setyawati Intan Safitri")</f>
        <v>Setyawati Intan Safitri</v>
      </c>
      <c r="J989" s="6" t="str">
        <f>IFERROR(__xludf.DUMMYFUNCTION("""COMPUTED_VALUE"""),"Aditya Liliyan")</f>
        <v>Aditya Liliyan</v>
      </c>
      <c r="K989" s="6"/>
      <c r="L989" s="6"/>
      <c r="M989" s="6"/>
      <c r="N989" s="6"/>
      <c r="O989" s="6"/>
      <c r="P989" s="10" t="str">
        <f>IFERROR(__xludf.DUMMYFUNCTION("""COMPUTED_VALUE"""),"Setyawati Intan Safitri, Aditya Liliyan")</f>
        <v>Setyawati Intan Safitri, Aditya Liliyan</v>
      </c>
      <c r="Q989" s="11" t="str">
        <f>IFERROR(__xludf.DUMMYFUNCTION("""COMPUTED_VALUE"""),"https://repository.stiesurakarta.ac.id/submission/446c2b13-a100-4abb-82e4-3fe750575372")</f>
        <v>https://repository.stiesurakarta.ac.id/submission/446c2b13-a100-4abb-82e4-3fe750575372</v>
      </c>
      <c r="R989" s="6"/>
    </row>
    <row r="990">
      <c r="A990" s="5">
        <f>IFERROR(__xludf.DUMMYFUNCTION("""COMPUTED_VALUE"""),989.0)</f>
        <v>989</v>
      </c>
      <c r="B990" s="6" t="str">
        <f>IFERROR(__xludf.DUMMYFUNCTION("""COMPUTED_VALUE"""),"Analisis Faktor-Faktor Yang Mempengaruhi Manajemen Laba Pada Perusahaan Manufaktur Sub Sektor Makanan dan Minuman Yang Terdaftar di BEI Periode 2021-2023")</f>
        <v>Analisis Faktor-Faktor Yang Mempengaruhi Manajemen Laba Pada Perusahaan Manufaktur Sub Sektor Makanan dan Minuman Yang Terdaftar di BEI Periode 2021-2023</v>
      </c>
      <c r="C990" s="7">
        <f>IFERROR(__xludf.DUMMYFUNCTION("""COMPUTED_VALUE"""),2025.0)</f>
        <v>2025</v>
      </c>
      <c r="D990" s="8" t="str">
        <f>IFERROR(__xludf.DUMMYFUNCTION("""COMPUTED_VALUE"""),"2024/2025")</f>
        <v>2024/2025</v>
      </c>
      <c r="E990" s="9">
        <f>IFERROR(__xludf.DUMMYFUNCTION("""COMPUTED_VALUE"""),45741.0)</f>
        <v>45741</v>
      </c>
      <c r="F990" s="5" t="str">
        <f>IFERROR(__xludf.DUMMYFUNCTION("""COMPUTED_VALUE"""),"Genap")</f>
        <v>Genap</v>
      </c>
      <c r="G990" s="5" t="str">
        <f>IFERROR(__xludf.DUMMYFUNCTION("""COMPUTED_VALUE"""),"Akuntansi")</f>
        <v>Akuntansi</v>
      </c>
      <c r="H990" s="10" t="str">
        <f>IFERROR(__xludf.DUMMYFUNCTION("""COMPUTED_VALUE"""),"Mahasiswa")</f>
        <v>Mahasiswa</v>
      </c>
      <c r="I990" s="6" t="str">
        <f>IFERROR(__xludf.DUMMYFUNCTION("""COMPUTED_VALUE"""),"Muslan")</f>
        <v>Muslan</v>
      </c>
      <c r="J990" s="6" t="str">
        <f>IFERROR(__xludf.DUMMYFUNCTION("""COMPUTED_VALUE"""),"Dewi Ika Octavia")</f>
        <v>Dewi Ika Octavia</v>
      </c>
      <c r="K990" s="6"/>
      <c r="L990" s="6"/>
      <c r="M990" s="6"/>
      <c r="N990" s="6"/>
      <c r="O990" s="6"/>
      <c r="P990" s="10" t="str">
        <f>IFERROR(__xludf.DUMMYFUNCTION("""COMPUTED_VALUE"""),"Muslan, Dewi Ika Octavia")</f>
        <v>Muslan, Dewi Ika Octavia</v>
      </c>
      <c r="Q990" s="11" t="str">
        <f>IFERROR(__xludf.DUMMYFUNCTION("""COMPUTED_VALUE"""),"https://repository.stiesurakarta.ac.id/submission/c5818bfb-2dfc-42bf-9ca2-3e99aeec85f1")</f>
        <v>https://repository.stiesurakarta.ac.id/submission/c5818bfb-2dfc-42bf-9ca2-3e99aeec85f1</v>
      </c>
      <c r="R990" s="6"/>
    </row>
    <row r="991">
      <c r="A991" s="5">
        <f>IFERROR(__xludf.DUMMYFUNCTION("""COMPUTED_VALUE"""),990.0)</f>
        <v>990</v>
      </c>
      <c r="B991" s="6" t="str">
        <f>IFERROR(__xludf.DUMMYFUNCTION("""COMPUTED_VALUE"""),"Analisis Penerapan Digital Marketing : Pengaruh Iklan Harga Promo di Instagram pada Peningkatan Penjualan Produk di Toko Furnitur ""JEMPOL""")</f>
        <v>Analisis Penerapan Digital Marketing : Pengaruh Iklan Harga Promo di Instagram pada Peningkatan Penjualan Produk di Toko Furnitur "JEMPOL"</v>
      </c>
      <c r="C991" s="7">
        <f>IFERROR(__xludf.DUMMYFUNCTION("""COMPUTED_VALUE"""),2025.0)</f>
        <v>2025</v>
      </c>
      <c r="D991" s="8" t="str">
        <f>IFERROR(__xludf.DUMMYFUNCTION("""COMPUTED_VALUE"""),"2024/2025")</f>
        <v>2024/2025</v>
      </c>
      <c r="E991" s="9">
        <f>IFERROR(__xludf.DUMMYFUNCTION("""COMPUTED_VALUE"""),45741.0)</f>
        <v>45741</v>
      </c>
      <c r="F991" s="5" t="str">
        <f>IFERROR(__xludf.DUMMYFUNCTION("""COMPUTED_VALUE"""),"Genap")</f>
        <v>Genap</v>
      </c>
      <c r="G991" s="5" t="str">
        <f>IFERROR(__xludf.DUMMYFUNCTION("""COMPUTED_VALUE"""),"Manajemen")</f>
        <v>Manajemen</v>
      </c>
      <c r="H991" s="10" t="str">
        <f>IFERROR(__xludf.DUMMYFUNCTION("""COMPUTED_VALUE"""),"Mahasiswa")</f>
        <v>Mahasiswa</v>
      </c>
      <c r="I991" s="6" t="str">
        <f>IFERROR(__xludf.DUMMYFUNCTION("""COMPUTED_VALUE"""),"Rendy Oktavian Firmansyah")</f>
        <v>Rendy Oktavian Firmansyah</v>
      </c>
      <c r="J991" s="6" t="str">
        <f>IFERROR(__xludf.DUMMYFUNCTION("""COMPUTED_VALUE"""),"Satria Veriansyah Wiguna")</f>
        <v>Satria Veriansyah Wiguna</v>
      </c>
      <c r="K991" s="6"/>
      <c r="L991" s="6"/>
      <c r="M991" s="6"/>
      <c r="N991" s="6"/>
      <c r="O991" s="6"/>
      <c r="P991" s="10" t="str">
        <f>IFERROR(__xludf.DUMMYFUNCTION("""COMPUTED_VALUE"""),"Rendy Oktavian Firmansyah, Satria Veriansyah Wiguna")</f>
        <v>Rendy Oktavian Firmansyah, Satria Veriansyah Wiguna</v>
      </c>
      <c r="Q991" s="11" t="str">
        <f>IFERROR(__xludf.DUMMYFUNCTION("""COMPUTED_VALUE"""),"https://repository.stiesurakarta.ac.id/submission/30a7023c-43ef-4371-a115-f0d154dc81e8")</f>
        <v>https://repository.stiesurakarta.ac.id/submission/30a7023c-43ef-4371-a115-f0d154dc81e8</v>
      </c>
      <c r="R991" s="6"/>
    </row>
    <row r="992">
      <c r="A992" s="5">
        <f>IFERROR(__xludf.DUMMYFUNCTION("""COMPUTED_VALUE"""),991.0)</f>
        <v>991</v>
      </c>
      <c r="B992" s="6" t="str">
        <f>IFERROR(__xludf.DUMMYFUNCTION("""COMPUTED_VALUE"""),"Strategi Pemasaran Produk di Tiktok Menggunakan Metode Analisis SWOT Pada Perusahaan Moicare")</f>
        <v>Strategi Pemasaran Produk di Tiktok Menggunakan Metode Analisis SWOT Pada Perusahaan Moicare</v>
      </c>
      <c r="C992" s="7">
        <f>IFERROR(__xludf.DUMMYFUNCTION("""COMPUTED_VALUE"""),2025.0)</f>
        <v>2025</v>
      </c>
      <c r="D992" s="8" t="str">
        <f>IFERROR(__xludf.DUMMYFUNCTION("""COMPUTED_VALUE"""),"2024/2025")</f>
        <v>2024/2025</v>
      </c>
      <c r="E992" s="9">
        <f>IFERROR(__xludf.DUMMYFUNCTION("""COMPUTED_VALUE"""),45742.0)</f>
        <v>45742</v>
      </c>
      <c r="F992" s="5" t="str">
        <f>IFERROR(__xludf.DUMMYFUNCTION("""COMPUTED_VALUE"""),"Genap")</f>
        <v>Genap</v>
      </c>
      <c r="G992" s="5" t="str">
        <f>IFERROR(__xludf.DUMMYFUNCTION("""COMPUTED_VALUE"""),"Manajemen")</f>
        <v>Manajemen</v>
      </c>
      <c r="H992" s="10" t="str">
        <f>IFERROR(__xludf.DUMMYFUNCTION("""COMPUTED_VALUE"""),"Mahasiswa")</f>
        <v>Mahasiswa</v>
      </c>
      <c r="I992" s="6" t="str">
        <f>IFERROR(__xludf.DUMMYFUNCTION("""COMPUTED_VALUE"""),"Farikhah Afifah")</f>
        <v>Farikhah Afifah</v>
      </c>
      <c r="J992" s="6" t="str">
        <f>IFERROR(__xludf.DUMMYFUNCTION("""COMPUTED_VALUE"""),"Satria Veriansyah Wiguna")</f>
        <v>Satria Veriansyah Wiguna</v>
      </c>
      <c r="K992" s="6"/>
      <c r="L992" s="6"/>
      <c r="M992" s="6"/>
      <c r="N992" s="6"/>
      <c r="O992" s="6"/>
      <c r="P992" s="10" t="str">
        <f>IFERROR(__xludf.DUMMYFUNCTION("""COMPUTED_VALUE"""),"Farikhah Afifah, Satria Veriansyah Wiguna")</f>
        <v>Farikhah Afifah, Satria Veriansyah Wiguna</v>
      </c>
      <c r="Q992" s="11" t="str">
        <f>IFERROR(__xludf.DUMMYFUNCTION("""COMPUTED_VALUE"""),"https://repository.stiesurakarta.ac.id/submission/d2968898-49fa-4670-b484-d840792c2c27")</f>
        <v>https://repository.stiesurakarta.ac.id/submission/d2968898-49fa-4670-b484-d840792c2c27</v>
      </c>
      <c r="R992" s="6"/>
    </row>
    <row r="993">
      <c r="A993" s="5">
        <f>IFERROR(__xludf.DUMMYFUNCTION("""COMPUTED_VALUE"""),992.0)</f>
        <v>992</v>
      </c>
      <c r="B993" s="6" t="str">
        <f>IFERROR(__xludf.DUMMYFUNCTION("""COMPUTED_VALUE"""),"PENGARUH KUALITAS PRODUK, PROMOSI, DAN BRAND IMAGE TERHADAP KEPUASAN PELANGGAN SEPATU (AERO STREET) DI SURAKARTA")</f>
        <v>PENGARUH KUALITAS PRODUK, PROMOSI, DAN BRAND IMAGE TERHADAP KEPUASAN PELANGGAN SEPATU (AERO STREET) DI SURAKARTA</v>
      </c>
      <c r="C993" s="7">
        <f>IFERROR(__xludf.DUMMYFUNCTION("""COMPUTED_VALUE"""),2025.0)</f>
        <v>2025</v>
      </c>
      <c r="D993" s="8" t="str">
        <f>IFERROR(__xludf.DUMMYFUNCTION("""COMPUTED_VALUE"""),"2024/2025")</f>
        <v>2024/2025</v>
      </c>
      <c r="E993" s="9">
        <f>IFERROR(__xludf.DUMMYFUNCTION("""COMPUTED_VALUE"""),45755.0)</f>
        <v>45755</v>
      </c>
      <c r="F993" s="5" t="str">
        <f>IFERROR(__xludf.DUMMYFUNCTION("""COMPUTED_VALUE"""),"Genap")</f>
        <v>Genap</v>
      </c>
      <c r="G993" s="5" t="str">
        <f>IFERROR(__xludf.DUMMYFUNCTION("""COMPUTED_VALUE"""),"Manajemen")</f>
        <v>Manajemen</v>
      </c>
      <c r="H993" s="10" t="str">
        <f>IFERROR(__xludf.DUMMYFUNCTION("""COMPUTED_VALUE"""),"Mahasiswa")</f>
        <v>Mahasiswa</v>
      </c>
      <c r="I993" s="6" t="str">
        <f>IFERROR(__xludf.DUMMYFUNCTION("""COMPUTED_VALUE"""),"Fahriandina Kusuma Fadhilla")</f>
        <v>Fahriandina Kusuma Fadhilla</v>
      </c>
      <c r="J993" s="6" t="str">
        <f>IFERROR(__xludf.DUMMYFUNCTION("""COMPUTED_VALUE"""),"Budi istiyanto")</f>
        <v>Budi istiyanto</v>
      </c>
      <c r="K993" s="6"/>
      <c r="L993" s="6"/>
      <c r="M993" s="6"/>
      <c r="N993" s="6"/>
      <c r="O993" s="6"/>
      <c r="P993" s="10" t="str">
        <f>IFERROR(__xludf.DUMMYFUNCTION("""COMPUTED_VALUE"""),"Fahriandina Kusuma Fadhilla, Budi istiyanto")</f>
        <v>Fahriandina Kusuma Fadhilla, Budi istiyanto</v>
      </c>
      <c r="Q993" s="11" t="str">
        <f>IFERROR(__xludf.DUMMYFUNCTION("""COMPUTED_VALUE"""),"https://repository.stiesurakarta.ac.id/submission/2d68e3b4-6cbc-486e-9595-c78634536423")</f>
        <v>https://repository.stiesurakarta.ac.id/submission/2d68e3b4-6cbc-486e-9595-c78634536423</v>
      </c>
      <c r="R993" s="6"/>
    </row>
    <row r="994">
      <c r="A994" s="5">
        <f>IFERROR(__xludf.DUMMYFUNCTION("""COMPUTED_VALUE"""),993.0)</f>
        <v>993</v>
      </c>
      <c r="B994" s="6" t="str">
        <f>IFERROR(__xludf.DUMMYFUNCTION("""COMPUTED_VALUE"""),"ANALISIS KINERJA KONTEN TIKTOK TERHADAP PENJUALAN PRODUK UNDERARM OLEH MOICARE")</f>
        <v>ANALISIS KINERJA KONTEN TIKTOK TERHADAP PENJUALAN PRODUK UNDERARM OLEH MOICARE</v>
      </c>
      <c r="C994" s="7">
        <f>IFERROR(__xludf.DUMMYFUNCTION("""COMPUTED_VALUE"""),2025.0)</f>
        <v>2025</v>
      </c>
      <c r="D994" s="8" t="str">
        <f>IFERROR(__xludf.DUMMYFUNCTION("""COMPUTED_VALUE"""),"2024/2025")</f>
        <v>2024/2025</v>
      </c>
      <c r="E994" s="9">
        <f>IFERROR(__xludf.DUMMYFUNCTION("""COMPUTED_VALUE"""),45755.0)</f>
        <v>45755</v>
      </c>
      <c r="F994" s="5" t="str">
        <f>IFERROR(__xludf.DUMMYFUNCTION("""COMPUTED_VALUE"""),"Genap")</f>
        <v>Genap</v>
      </c>
      <c r="G994" s="5" t="str">
        <f>IFERROR(__xludf.DUMMYFUNCTION("""COMPUTED_VALUE"""),"Manajemen")</f>
        <v>Manajemen</v>
      </c>
      <c r="H994" s="10" t="str">
        <f>IFERROR(__xludf.DUMMYFUNCTION("""COMPUTED_VALUE"""),"Mahasiswa")</f>
        <v>Mahasiswa</v>
      </c>
      <c r="I994" s="6" t="str">
        <f>IFERROR(__xludf.DUMMYFUNCTION("""COMPUTED_VALUE"""),"Eka Dewi Puspitasari")</f>
        <v>Eka Dewi Puspitasari</v>
      </c>
      <c r="J994" s="6" t="str">
        <f>IFERROR(__xludf.DUMMYFUNCTION("""COMPUTED_VALUE"""),"Satria Veriansyah Wiguna")</f>
        <v>Satria Veriansyah Wiguna</v>
      </c>
      <c r="K994" s="6"/>
      <c r="L994" s="6"/>
      <c r="M994" s="6"/>
      <c r="N994" s="6"/>
      <c r="O994" s="6"/>
      <c r="P994" s="10" t="str">
        <f>IFERROR(__xludf.DUMMYFUNCTION("""COMPUTED_VALUE"""),"Eka Dewi Puspitasari, Satria Veriansyah Wiguna")</f>
        <v>Eka Dewi Puspitasari, Satria Veriansyah Wiguna</v>
      </c>
      <c r="Q994" s="11" t="str">
        <f>IFERROR(__xludf.DUMMYFUNCTION("""COMPUTED_VALUE"""),"https://repository.stiesurakarta.ac.id/submission/ca892d5d-df9b-46a1-b933-006c7fe21147")</f>
        <v>https://repository.stiesurakarta.ac.id/submission/ca892d5d-df9b-46a1-b933-006c7fe21147</v>
      </c>
      <c r="R994" s="6"/>
    </row>
    <row r="995">
      <c r="A995" s="5">
        <f>IFERROR(__xludf.DUMMYFUNCTION("""COMPUTED_VALUE"""),994.0)</f>
        <v>994</v>
      </c>
      <c r="B995" s="6" t="str">
        <f>IFERROR(__xludf.DUMMYFUNCTION("""COMPUTED_VALUE"""),"Pengaruh Kualitas Produk, Brand Image, dan Lifestyle Terhadap Keputusan Pembelian Sepatu Nike di Kota Solo")</f>
        <v>Pengaruh Kualitas Produk, Brand Image, dan Lifestyle Terhadap Keputusan Pembelian Sepatu Nike di Kota Solo</v>
      </c>
      <c r="C995" s="7">
        <f>IFERROR(__xludf.DUMMYFUNCTION("""COMPUTED_VALUE"""),2025.0)</f>
        <v>2025</v>
      </c>
      <c r="D995" s="8" t="str">
        <f>IFERROR(__xludf.DUMMYFUNCTION("""COMPUTED_VALUE"""),"2024/2025")</f>
        <v>2024/2025</v>
      </c>
      <c r="E995" s="9">
        <f>IFERROR(__xludf.DUMMYFUNCTION("""COMPUTED_VALUE"""),45761.0)</f>
        <v>45761</v>
      </c>
      <c r="F995" s="5" t="str">
        <f>IFERROR(__xludf.DUMMYFUNCTION("""COMPUTED_VALUE"""),"Genap")</f>
        <v>Genap</v>
      </c>
      <c r="G995" s="5" t="str">
        <f>IFERROR(__xludf.DUMMYFUNCTION("""COMPUTED_VALUE"""),"Manajemen")</f>
        <v>Manajemen</v>
      </c>
      <c r="H995" s="10" t="str">
        <f>IFERROR(__xludf.DUMMYFUNCTION("""COMPUTED_VALUE"""),"Mahasiswa")</f>
        <v>Mahasiswa</v>
      </c>
      <c r="I995" s="6" t="str">
        <f>IFERROR(__xludf.DUMMYFUNCTION("""COMPUTED_VALUE"""),"Loly Aura Dewi")</f>
        <v>Loly Aura Dewi</v>
      </c>
      <c r="J995" s="6" t="str">
        <f>IFERROR(__xludf.DUMMYFUNCTION("""COMPUTED_VALUE"""),"Budi istiyanto")</f>
        <v>Budi istiyanto</v>
      </c>
      <c r="K995" s="6"/>
      <c r="L995" s="6"/>
      <c r="M995" s="6"/>
      <c r="N995" s="6"/>
      <c r="O995" s="6"/>
      <c r="P995" s="10" t="str">
        <f>IFERROR(__xludf.DUMMYFUNCTION("""COMPUTED_VALUE"""),"Loly Aura Dewi, Budi istiyanto")</f>
        <v>Loly Aura Dewi, Budi istiyanto</v>
      </c>
      <c r="Q995" s="11" t="str">
        <f>IFERROR(__xludf.DUMMYFUNCTION("""COMPUTED_VALUE"""),"https://repository.stiesurakarta.ac.id/submission/88c50a94-98d5-4795-a2b2-4a063a7efe59")</f>
        <v>https://repository.stiesurakarta.ac.id/submission/88c50a94-98d5-4795-a2b2-4a063a7efe59</v>
      </c>
      <c r="R995" s="6"/>
    </row>
    <row r="996">
      <c r="A996" s="5">
        <f>IFERROR(__xludf.DUMMYFUNCTION("""COMPUTED_VALUE"""),995.0)</f>
        <v>995</v>
      </c>
      <c r="B996" s="6" t="str">
        <f>IFERROR(__xludf.DUMMYFUNCTION("""COMPUTED_VALUE"""),"Analisis Pemungutan Pajak Pertambahan Nilai (PPN) di Perusahaan Manufaktur Jaya Plast")</f>
        <v>Analisis Pemungutan Pajak Pertambahan Nilai (PPN) di Perusahaan Manufaktur Jaya Plast</v>
      </c>
      <c r="C996" s="7">
        <f>IFERROR(__xludf.DUMMYFUNCTION("""COMPUTED_VALUE"""),2025.0)</f>
        <v>2025</v>
      </c>
      <c r="D996" s="8" t="str">
        <f>IFERROR(__xludf.DUMMYFUNCTION("""COMPUTED_VALUE"""),"2024/2025")</f>
        <v>2024/2025</v>
      </c>
      <c r="E996" s="9">
        <f>IFERROR(__xludf.DUMMYFUNCTION("""COMPUTED_VALUE"""),45761.0)</f>
        <v>45761</v>
      </c>
      <c r="F996" s="5" t="str">
        <f>IFERROR(__xludf.DUMMYFUNCTION("""COMPUTED_VALUE"""),"Genap")</f>
        <v>Genap</v>
      </c>
      <c r="G996" s="5" t="str">
        <f>IFERROR(__xludf.DUMMYFUNCTION("""COMPUTED_VALUE"""),"Akuntansi")</f>
        <v>Akuntansi</v>
      </c>
      <c r="H996" s="10" t="str">
        <f>IFERROR(__xludf.DUMMYFUNCTION("""COMPUTED_VALUE"""),"Mahasiswa")</f>
        <v>Mahasiswa</v>
      </c>
      <c r="I996" s="6" t="str">
        <f>IFERROR(__xludf.DUMMYFUNCTION("""COMPUTED_VALUE"""),"Chairunisa")</f>
        <v>Chairunisa</v>
      </c>
      <c r="J996" s="6" t="str">
        <f>IFERROR(__xludf.DUMMYFUNCTION("""COMPUTED_VALUE"""),"Dianing Widya Kusumastuti")</f>
        <v>Dianing Widya Kusumastuti</v>
      </c>
      <c r="K996" s="6"/>
      <c r="L996" s="6"/>
      <c r="M996" s="6"/>
      <c r="N996" s="6"/>
      <c r="O996" s="6"/>
      <c r="P996" s="10" t="str">
        <f>IFERROR(__xludf.DUMMYFUNCTION("""COMPUTED_VALUE"""),"Chairunisa, Dianing Widya Kusumastuti")</f>
        <v>Chairunisa, Dianing Widya Kusumastuti</v>
      </c>
      <c r="Q996" s="11" t="str">
        <f>IFERROR(__xludf.DUMMYFUNCTION("""COMPUTED_VALUE"""),"https://repository.stiesurakarta.ac.id/submission/72095900-889b-4c8c-aa3c-bc58c9f75c3a")</f>
        <v>https://repository.stiesurakarta.ac.id/submission/72095900-889b-4c8c-aa3c-bc58c9f75c3a</v>
      </c>
      <c r="R996" s="6"/>
    </row>
    <row r="997">
      <c r="A997" s="5">
        <f>IFERROR(__xludf.DUMMYFUNCTION("""COMPUTED_VALUE"""),996.0)</f>
        <v>996</v>
      </c>
      <c r="B997" s="6" t="str">
        <f>IFERROR(__xludf.DUMMYFUNCTION("""COMPUTED_VALUE"""),"Pengaruh Gaya Hidup dan Fitur Shopee Paylater Terhadap Keputusan Pembelian Pengguna Shopee di Daerah Klaten")</f>
        <v>Pengaruh Gaya Hidup dan Fitur Shopee Paylater Terhadap Keputusan Pembelian Pengguna Shopee di Daerah Klaten</v>
      </c>
      <c r="C997" s="7">
        <f>IFERROR(__xludf.DUMMYFUNCTION("""COMPUTED_VALUE"""),2025.0)</f>
        <v>2025</v>
      </c>
      <c r="D997" s="8" t="str">
        <f>IFERROR(__xludf.DUMMYFUNCTION("""COMPUTED_VALUE"""),"2024/2025")</f>
        <v>2024/2025</v>
      </c>
      <c r="E997" s="9">
        <f>IFERROR(__xludf.DUMMYFUNCTION("""COMPUTED_VALUE"""),45762.0)</f>
        <v>45762</v>
      </c>
      <c r="F997" s="5" t="str">
        <f>IFERROR(__xludf.DUMMYFUNCTION("""COMPUTED_VALUE"""),"Genap")</f>
        <v>Genap</v>
      </c>
      <c r="G997" s="5" t="str">
        <f>IFERROR(__xludf.DUMMYFUNCTION("""COMPUTED_VALUE"""),"Manajemen")</f>
        <v>Manajemen</v>
      </c>
      <c r="H997" s="10" t="str">
        <f>IFERROR(__xludf.DUMMYFUNCTION("""COMPUTED_VALUE"""),"Mahasiswa")</f>
        <v>Mahasiswa</v>
      </c>
      <c r="I997" s="6" t="str">
        <f>IFERROR(__xludf.DUMMYFUNCTION("""COMPUTED_VALUE"""),"Lusiana Nur Istiqomah")</f>
        <v>Lusiana Nur Istiqomah</v>
      </c>
      <c r="J997" s="6" t="str">
        <f>IFERROR(__xludf.DUMMYFUNCTION("""COMPUTED_VALUE"""),"Muhammad Syihabuddin")</f>
        <v>Muhammad Syihabuddin</v>
      </c>
      <c r="K997" s="6"/>
      <c r="L997" s="6"/>
      <c r="M997" s="6"/>
      <c r="N997" s="6"/>
      <c r="O997" s="6"/>
      <c r="P997" s="10" t="str">
        <f>IFERROR(__xludf.DUMMYFUNCTION("""COMPUTED_VALUE"""),"Lusiana Nur Istiqomah, Muhammad Syihabuddin")</f>
        <v>Lusiana Nur Istiqomah, Muhammad Syihabuddin</v>
      </c>
      <c r="Q997" s="11" t="str">
        <f>IFERROR(__xludf.DUMMYFUNCTION("""COMPUTED_VALUE"""),"https://repository.stiesurakarta.ac.id/submission/ee235ae1-04a8-44e3-a65d-31f90fc650a2")</f>
        <v>https://repository.stiesurakarta.ac.id/submission/ee235ae1-04a8-44e3-a65d-31f90fc650a2</v>
      </c>
      <c r="R997" s="6"/>
    </row>
    <row r="998">
      <c r="A998" s="5">
        <f>IFERROR(__xludf.DUMMYFUNCTION("""COMPUTED_VALUE"""),997.0)</f>
        <v>997</v>
      </c>
      <c r="B998" s="6" t="str">
        <f>IFERROR(__xludf.DUMMYFUNCTION("""COMPUTED_VALUE"""),"Pengaruh Media Promosi Tiktok, Peran Influencer Marketing, Dan Online Customer Review Terhadap Minat Beli Pada Produk Makanan Kylafood")</f>
        <v>Pengaruh Media Promosi Tiktok, Peran Influencer Marketing, Dan Online Customer Review Terhadap Minat Beli Pada Produk Makanan Kylafood</v>
      </c>
      <c r="C998" s="7">
        <f>IFERROR(__xludf.DUMMYFUNCTION("""COMPUTED_VALUE"""),2025.0)</f>
        <v>2025</v>
      </c>
      <c r="D998" s="8" t="str">
        <f>IFERROR(__xludf.DUMMYFUNCTION("""COMPUTED_VALUE"""),"2024/2025")</f>
        <v>2024/2025</v>
      </c>
      <c r="E998" s="9">
        <f>IFERROR(__xludf.DUMMYFUNCTION("""COMPUTED_VALUE"""),45763.0)</f>
        <v>45763</v>
      </c>
      <c r="F998" s="5" t="str">
        <f>IFERROR(__xludf.DUMMYFUNCTION("""COMPUTED_VALUE"""),"Genap")</f>
        <v>Genap</v>
      </c>
      <c r="G998" s="5" t="str">
        <f>IFERROR(__xludf.DUMMYFUNCTION("""COMPUTED_VALUE"""),"Manajemen")</f>
        <v>Manajemen</v>
      </c>
      <c r="H998" s="10" t="str">
        <f>IFERROR(__xludf.DUMMYFUNCTION("""COMPUTED_VALUE"""),"Mahasiswa")</f>
        <v>Mahasiswa</v>
      </c>
      <c r="I998" s="6" t="str">
        <f>IFERROR(__xludf.DUMMYFUNCTION("""COMPUTED_VALUE"""),"Dhea Latifah")</f>
        <v>Dhea Latifah</v>
      </c>
      <c r="J998" s="6" t="str">
        <f>IFERROR(__xludf.DUMMYFUNCTION("""COMPUTED_VALUE"""),"Budi istiyanto")</f>
        <v>Budi istiyanto</v>
      </c>
      <c r="K998" s="6"/>
      <c r="L998" s="6"/>
      <c r="M998" s="6"/>
      <c r="N998" s="6"/>
      <c r="O998" s="6"/>
      <c r="P998" s="10" t="str">
        <f>IFERROR(__xludf.DUMMYFUNCTION("""COMPUTED_VALUE"""),"Dhea Latifah, Budi istiyanto")</f>
        <v>Dhea Latifah, Budi istiyanto</v>
      </c>
      <c r="Q998" s="11" t="str">
        <f>IFERROR(__xludf.DUMMYFUNCTION("""COMPUTED_VALUE"""),"https://repository.stiesurakarta.ac.id/submission/dca022e4-3867-4b74-a7c8-d9e3308e760f")</f>
        <v>https://repository.stiesurakarta.ac.id/submission/dca022e4-3867-4b74-a7c8-d9e3308e760f</v>
      </c>
      <c r="R998" s="6"/>
    </row>
    <row r="999">
      <c r="A999" s="5">
        <f>IFERROR(__xludf.DUMMYFUNCTION("""COMPUTED_VALUE"""),998.0)</f>
        <v>998</v>
      </c>
      <c r="B999" s="6" t="str">
        <f>IFERROR(__xludf.DUMMYFUNCTION("""COMPUTED_VALUE"""),"Pengaruh Work-Life Balance dan Lingkungan Kerja Terhadap Kinerja Karyawan CV Amerta Jersey Indonesia")</f>
        <v>Pengaruh Work-Life Balance dan Lingkungan Kerja Terhadap Kinerja Karyawan CV Amerta Jersey Indonesia</v>
      </c>
      <c r="C999" s="7">
        <f>IFERROR(__xludf.DUMMYFUNCTION("""COMPUTED_VALUE"""),2025.0)</f>
        <v>2025</v>
      </c>
      <c r="D999" s="8" t="str">
        <f>IFERROR(__xludf.DUMMYFUNCTION("""COMPUTED_VALUE"""),"2024/2025")</f>
        <v>2024/2025</v>
      </c>
      <c r="E999" s="9">
        <f>IFERROR(__xludf.DUMMYFUNCTION("""COMPUTED_VALUE"""),45763.0)</f>
        <v>45763</v>
      </c>
      <c r="F999" s="5" t="str">
        <f>IFERROR(__xludf.DUMMYFUNCTION("""COMPUTED_VALUE"""),"Genap")</f>
        <v>Genap</v>
      </c>
      <c r="G999" s="5" t="str">
        <f>IFERROR(__xludf.DUMMYFUNCTION("""COMPUTED_VALUE"""),"Manajemen")</f>
        <v>Manajemen</v>
      </c>
      <c r="H999" s="10" t="str">
        <f>IFERROR(__xludf.DUMMYFUNCTION("""COMPUTED_VALUE"""),"Mahasiswa")</f>
        <v>Mahasiswa</v>
      </c>
      <c r="I999" s="6" t="str">
        <f>IFERROR(__xludf.DUMMYFUNCTION("""COMPUTED_VALUE"""),"Asyifah Ade Putri Pratama")</f>
        <v>Asyifah Ade Putri Pratama</v>
      </c>
      <c r="J999" s="6" t="str">
        <f>IFERROR(__xludf.DUMMYFUNCTION("""COMPUTED_VALUE"""),"Muhammad Syihabuddin")</f>
        <v>Muhammad Syihabuddin</v>
      </c>
      <c r="K999" s="6"/>
      <c r="L999" s="6"/>
      <c r="M999" s="6"/>
      <c r="N999" s="6"/>
      <c r="O999" s="6"/>
      <c r="P999" s="10" t="str">
        <f>IFERROR(__xludf.DUMMYFUNCTION("""COMPUTED_VALUE"""),"Asyifah Ade Putri Pratama, Muhammad Syihabuddin")</f>
        <v>Asyifah Ade Putri Pratama, Muhammad Syihabuddin</v>
      </c>
      <c r="Q999" s="11" t="str">
        <f>IFERROR(__xludf.DUMMYFUNCTION("""COMPUTED_VALUE"""),"https://repository.stiesurakarta.ac.id/submission/1dee1547-6e55-43e6-8d66-415de61c2e24")</f>
        <v>https://repository.stiesurakarta.ac.id/submission/1dee1547-6e55-43e6-8d66-415de61c2e24</v>
      </c>
      <c r="R999" s="6"/>
    </row>
    <row r="1000">
      <c r="A1000" s="5">
        <f>IFERROR(__xludf.DUMMYFUNCTION("""COMPUTED_VALUE"""),999.0)</f>
        <v>999</v>
      </c>
      <c r="B1000" s="6" t="str">
        <f>IFERROR(__xludf.DUMMYFUNCTION("""COMPUTED_VALUE"""),"Analisis Komunikasi Tim dan Kualitas Pelayanan Pada Toko Kopi Djaya Mandiri")</f>
        <v>Analisis Komunikasi Tim dan Kualitas Pelayanan Pada Toko Kopi Djaya Mandiri</v>
      </c>
      <c r="C1000" s="7">
        <f>IFERROR(__xludf.DUMMYFUNCTION("""COMPUTED_VALUE"""),2025.0)</f>
        <v>2025</v>
      </c>
      <c r="D1000" s="8" t="str">
        <f>IFERROR(__xludf.DUMMYFUNCTION("""COMPUTED_VALUE"""),"2024/2025")</f>
        <v>2024/2025</v>
      </c>
      <c r="E1000" s="9">
        <f>IFERROR(__xludf.DUMMYFUNCTION("""COMPUTED_VALUE"""),45770.0)</f>
        <v>45770</v>
      </c>
      <c r="F1000" s="5" t="str">
        <f>IFERROR(__xludf.DUMMYFUNCTION("""COMPUTED_VALUE"""),"Genap")</f>
        <v>Genap</v>
      </c>
      <c r="G1000" s="5" t="str">
        <f>IFERROR(__xludf.DUMMYFUNCTION("""COMPUTED_VALUE"""),"Manajemen")</f>
        <v>Manajemen</v>
      </c>
      <c r="H1000" s="10" t="str">
        <f>IFERROR(__xludf.DUMMYFUNCTION("""COMPUTED_VALUE"""),"Mahasiswa")</f>
        <v>Mahasiswa</v>
      </c>
      <c r="I1000" s="6" t="str">
        <f>IFERROR(__xludf.DUMMYFUNCTION("""COMPUTED_VALUE"""),"Viona Ayu Aurelia")</f>
        <v>Viona Ayu Aurelia</v>
      </c>
      <c r="J1000" s="6" t="str">
        <f>IFERROR(__xludf.DUMMYFUNCTION("""COMPUTED_VALUE"""),"Muhammad Syihabuddin")</f>
        <v>Muhammad Syihabuddin</v>
      </c>
      <c r="K1000" s="6"/>
      <c r="L1000" s="6"/>
      <c r="M1000" s="6"/>
      <c r="N1000" s="6"/>
      <c r="O1000" s="6"/>
      <c r="P1000" s="10" t="str">
        <f>IFERROR(__xludf.DUMMYFUNCTION("""COMPUTED_VALUE"""),"Viona Ayu Aurelia, Muhammad Syihabuddin")</f>
        <v>Viona Ayu Aurelia, Muhammad Syihabuddin</v>
      </c>
      <c r="Q1000" s="11" t="str">
        <f>IFERROR(__xludf.DUMMYFUNCTION("""COMPUTED_VALUE"""),"https://repository.stiesurakarta.ac.id/submission/9338c5e9-3f72-4539-bad5-4228b8b928b3")</f>
        <v>https://repository.stiesurakarta.ac.id/submission/9338c5e9-3f72-4539-bad5-4228b8b928b3</v>
      </c>
      <c r="R1000" s="6"/>
    </row>
    <row r="1001">
      <c r="A1001" s="5">
        <f>IFERROR(__xludf.DUMMYFUNCTION("""COMPUTED_VALUE"""),1000.0)</f>
        <v>1000</v>
      </c>
      <c r="B1001" s="6" t="str">
        <f>IFERROR(__xludf.DUMMYFUNCTION("""COMPUTED_VALUE"""),"Pengaruh Brand Image dan Brand Trust Terhadap Loyalitas Konsumen Kosmetik Wardah di Sukoharjo")</f>
        <v>Pengaruh Brand Image dan Brand Trust Terhadap Loyalitas Konsumen Kosmetik Wardah di Sukoharjo</v>
      </c>
      <c r="C1001" s="7">
        <f>IFERROR(__xludf.DUMMYFUNCTION("""COMPUTED_VALUE"""),2025.0)</f>
        <v>2025</v>
      </c>
      <c r="D1001" s="8" t="str">
        <f>IFERROR(__xludf.DUMMYFUNCTION("""COMPUTED_VALUE"""),"2024/2025")</f>
        <v>2024/2025</v>
      </c>
      <c r="E1001" s="9">
        <f>IFERROR(__xludf.DUMMYFUNCTION("""COMPUTED_VALUE"""),45771.0)</f>
        <v>45771</v>
      </c>
      <c r="F1001" s="5" t="str">
        <f>IFERROR(__xludf.DUMMYFUNCTION("""COMPUTED_VALUE"""),"Genap")</f>
        <v>Genap</v>
      </c>
      <c r="G1001" s="5" t="str">
        <f>IFERROR(__xludf.DUMMYFUNCTION("""COMPUTED_VALUE"""),"Manajemen")</f>
        <v>Manajemen</v>
      </c>
      <c r="H1001" s="10" t="str">
        <f>IFERROR(__xludf.DUMMYFUNCTION("""COMPUTED_VALUE"""),"Mahasiswa")</f>
        <v>Mahasiswa</v>
      </c>
      <c r="I1001" s="6" t="str">
        <f>IFERROR(__xludf.DUMMYFUNCTION("""COMPUTED_VALUE"""),"Risla Fitriana")</f>
        <v>Risla Fitriana</v>
      </c>
      <c r="J1001" s="6" t="str">
        <f>IFERROR(__xludf.DUMMYFUNCTION("""COMPUTED_VALUE"""),"Ari Susanti")</f>
        <v>Ari Susanti</v>
      </c>
      <c r="K1001" s="6"/>
      <c r="L1001" s="6"/>
      <c r="M1001" s="6"/>
      <c r="N1001" s="6"/>
      <c r="O1001" s="6"/>
      <c r="P1001" s="10" t="str">
        <f>IFERROR(__xludf.DUMMYFUNCTION("""COMPUTED_VALUE"""),"Risla Fitriana, Ari Susanti")</f>
        <v>Risla Fitriana, Ari Susanti</v>
      </c>
      <c r="Q1001" s="11" t="str">
        <f>IFERROR(__xludf.DUMMYFUNCTION("""COMPUTED_VALUE"""),"https://repository.stiesurakarta.ac.id/submission/7cd60bab-0792-4aa1-bac7-587762749108")</f>
        <v>https://repository.stiesurakarta.ac.id/submission/7cd60bab-0792-4aa1-bac7-587762749108</v>
      </c>
      <c r="R1001" s="6"/>
    </row>
    <row r="1002">
      <c r="A1002" s="5">
        <f>IFERROR(__xludf.DUMMYFUNCTION("""COMPUTED_VALUE"""),1001.0)</f>
        <v>1001</v>
      </c>
      <c r="B1002" s="6" t="str">
        <f>IFERROR(__xludf.DUMMYFUNCTION("""COMPUTED_VALUE"""),"Pengaruh Konten, Influencer, dan Media Sosial Terhadap Brand Awareness Rucas di Solo Raya")</f>
        <v>Pengaruh Konten, Influencer, dan Media Sosial Terhadap Brand Awareness Rucas di Solo Raya</v>
      </c>
      <c r="C1002" s="7">
        <f>IFERROR(__xludf.DUMMYFUNCTION("""COMPUTED_VALUE"""),2025.0)</f>
        <v>2025</v>
      </c>
      <c r="D1002" s="8" t="str">
        <f>IFERROR(__xludf.DUMMYFUNCTION("""COMPUTED_VALUE"""),"2024/2025")</f>
        <v>2024/2025</v>
      </c>
      <c r="E1002" s="9">
        <f>IFERROR(__xludf.DUMMYFUNCTION("""COMPUTED_VALUE"""),45771.0)</f>
        <v>45771</v>
      </c>
      <c r="F1002" s="5" t="str">
        <f>IFERROR(__xludf.DUMMYFUNCTION("""COMPUTED_VALUE"""),"Genap")</f>
        <v>Genap</v>
      </c>
      <c r="G1002" s="5" t="str">
        <f>IFERROR(__xludf.DUMMYFUNCTION("""COMPUTED_VALUE"""),"Manajemen")</f>
        <v>Manajemen</v>
      </c>
      <c r="H1002" s="10" t="str">
        <f>IFERROR(__xludf.DUMMYFUNCTION("""COMPUTED_VALUE"""),"Mahasiswa")</f>
        <v>Mahasiswa</v>
      </c>
      <c r="I1002" s="6" t="str">
        <f>IFERROR(__xludf.DUMMYFUNCTION("""COMPUTED_VALUE"""),"Dicky Tristianto")</f>
        <v>Dicky Tristianto</v>
      </c>
      <c r="J1002" s="6" t="str">
        <f>IFERROR(__xludf.DUMMYFUNCTION("""COMPUTED_VALUE"""),"Satria Veriansyah Wiguna")</f>
        <v>Satria Veriansyah Wiguna</v>
      </c>
      <c r="K1002" s="6"/>
      <c r="L1002" s="6"/>
      <c r="M1002" s="6"/>
      <c r="N1002" s="6"/>
      <c r="O1002" s="6"/>
      <c r="P1002" s="10" t="str">
        <f>IFERROR(__xludf.DUMMYFUNCTION("""COMPUTED_VALUE"""),"Dicky Tristianto, Satria Veriansyah Wiguna")</f>
        <v>Dicky Tristianto, Satria Veriansyah Wiguna</v>
      </c>
      <c r="Q1002" s="11" t="str">
        <f>IFERROR(__xludf.DUMMYFUNCTION("""COMPUTED_VALUE"""),"https://repository.stiesurakarta.ac.id/submission/f4d05f7b-d452-481d-a8c2-1790c8ab37c6")</f>
        <v>https://repository.stiesurakarta.ac.id/submission/f4d05f7b-d452-481d-a8c2-1790c8ab37c6</v>
      </c>
      <c r="R1002" s="6"/>
    </row>
    <row r="1003">
      <c r="A1003" s="5">
        <f>IFERROR(__xludf.DUMMYFUNCTION("""COMPUTED_VALUE"""),1002.0)</f>
        <v>1002</v>
      </c>
      <c r="B1003" s="6" t="str">
        <f>IFERROR(__xludf.DUMMYFUNCTION("""COMPUTED_VALUE"""),"Pengaruh Online Customer Rating, Kualitas Produk, Kepercayaan Konsumen Terhadap Minat Beli Avoskin di Shopee Mall")</f>
        <v>Pengaruh Online Customer Rating, Kualitas Produk, Kepercayaan Konsumen Terhadap Minat Beli Avoskin di Shopee Mall</v>
      </c>
      <c r="C1003" s="7">
        <f>IFERROR(__xludf.DUMMYFUNCTION("""COMPUTED_VALUE"""),2025.0)</f>
        <v>2025</v>
      </c>
      <c r="D1003" s="8" t="str">
        <f>IFERROR(__xludf.DUMMYFUNCTION("""COMPUTED_VALUE"""),"2024/2025")</f>
        <v>2024/2025</v>
      </c>
      <c r="E1003" s="9">
        <f>IFERROR(__xludf.DUMMYFUNCTION("""COMPUTED_VALUE"""),45772.0)</f>
        <v>45772</v>
      </c>
      <c r="F1003" s="5" t="str">
        <f>IFERROR(__xludf.DUMMYFUNCTION("""COMPUTED_VALUE"""),"Genap")</f>
        <v>Genap</v>
      </c>
      <c r="G1003" s="5" t="str">
        <f>IFERROR(__xludf.DUMMYFUNCTION("""COMPUTED_VALUE"""),"Manajemen")</f>
        <v>Manajemen</v>
      </c>
      <c r="H1003" s="10" t="str">
        <f>IFERROR(__xludf.DUMMYFUNCTION("""COMPUTED_VALUE"""),"Mahasiswa")</f>
        <v>Mahasiswa</v>
      </c>
      <c r="I1003" s="6" t="str">
        <f>IFERROR(__xludf.DUMMYFUNCTION("""COMPUTED_VALUE"""),"Fatihatur Rofiah")</f>
        <v>Fatihatur Rofiah</v>
      </c>
      <c r="J1003" s="6" t="str">
        <f>IFERROR(__xludf.DUMMYFUNCTION("""COMPUTED_VALUE"""),"Ari Susanti")</f>
        <v>Ari Susanti</v>
      </c>
      <c r="K1003" s="6"/>
      <c r="L1003" s="6"/>
      <c r="M1003" s="6"/>
      <c r="N1003" s="6"/>
      <c r="O1003" s="6"/>
      <c r="P1003" s="10" t="str">
        <f>IFERROR(__xludf.DUMMYFUNCTION("""COMPUTED_VALUE"""),"Fatihatur Rofiah, Ari Susanti")</f>
        <v>Fatihatur Rofiah, Ari Susanti</v>
      </c>
      <c r="Q1003" s="11" t="str">
        <f>IFERROR(__xludf.DUMMYFUNCTION("""COMPUTED_VALUE"""),"https://repository.stiesurakarta.ac.id/submission/3671edb9-9a14-4922-a05f-d34d114143c9")</f>
        <v>https://repository.stiesurakarta.ac.id/submission/3671edb9-9a14-4922-a05f-d34d114143c9</v>
      </c>
      <c r="R1003" s="6"/>
    </row>
    <row r="1004">
      <c r="A1004" s="5">
        <f>IFERROR(__xludf.DUMMYFUNCTION("""COMPUTED_VALUE"""),1003.0)</f>
        <v>1003</v>
      </c>
      <c r="B1004" s="6" t="str">
        <f>IFERROR(__xludf.DUMMYFUNCTION("""COMPUTED_VALUE"""),"Analisis Penggunaan Instagram Sebagai Media Pemasaran Digital (Studi Deskriptif Pada Akun @Mahar.Klaten)")</f>
        <v>Analisis Penggunaan Instagram Sebagai Media Pemasaran Digital (Studi Deskriptif Pada Akun @Mahar.Klaten)</v>
      </c>
      <c r="C1004" s="7">
        <f>IFERROR(__xludf.DUMMYFUNCTION("""COMPUTED_VALUE"""),2025.0)</f>
        <v>2025</v>
      </c>
      <c r="D1004" s="8" t="str">
        <f>IFERROR(__xludf.DUMMYFUNCTION("""COMPUTED_VALUE"""),"2024/2025")</f>
        <v>2024/2025</v>
      </c>
      <c r="E1004" s="9">
        <f>IFERROR(__xludf.DUMMYFUNCTION("""COMPUTED_VALUE"""),45776.0)</f>
        <v>45776</v>
      </c>
      <c r="F1004" s="5" t="str">
        <f>IFERROR(__xludf.DUMMYFUNCTION("""COMPUTED_VALUE"""),"Genap")</f>
        <v>Genap</v>
      </c>
      <c r="G1004" s="5" t="str">
        <f>IFERROR(__xludf.DUMMYFUNCTION("""COMPUTED_VALUE"""),"Manajemen")</f>
        <v>Manajemen</v>
      </c>
      <c r="H1004" s="10" t="str">
        <f>IFERROR(__xludf.DUMMYFUNCTION("""COMPUTED_VALUE"""),"Mahasiswa")</f>
        <v>Mahasiswa</v>
      </c>
      <c r="I1004" s="6" t="str">
        <f>IFERROR(__xludf.DUMMYFUNCTION("""COMPUTED_VALUE"""),"Inna Amelia Wahiddah")</f>
        <v>Inna Amelia Wahiddah</v>
      </c>
      <c r="J1004" s="6" t="str">
        <f>IFERROR(__xludf.DUMMYFUNCTION("""COMPUTED_VALUE"""),"Gilang Habib Azky Pratama")</f>
        <v>Gilang Habib Azky Pratama</v>
      </c>
      <c r="K1004" s="6"/>
      <c r="L1004" s="6"/>
      <c r="M1004" s="6"/>
      <c r="N1004" s="6"/>
      <c r="O1004" s="6"/>
      <c r="P1004" s="10" t="str">
        <f>IFERROR(__xludf.DUMMYFUNCTION("""COMPUTED_VALUE"""),"Inna Amelia Wahiddah, Gilang Habib Azky Pratama")</f>
        <v>Inna Amelia Wahiddah, Gilang Habib Azky Pratama</v>
      </c>
      <c r="Q1004" s="11" t="str">
        <f>IFERROR(__xludf.DUMMYFUNCTION("""COMPUTED_VALUE"""),"https://repository.stiesurakarta.ac.id/submission/b225a0ea-61df-45d0-8ec9-7f3ff8d71369")</f>
        <v>https://repository.stiesurakarta.ac.id/submission/b225a0ea-61df-45d0-8ec9-7f3ff8d71369</v>
      </c>
      <c r="R1004" s="6"/>
    </row>
    <row r="1005">
      <c r="A1005" s="5">
        <f>IFERROR(__xludf.DUMMYFUNCTION("""COMPUTED_VALUE"""),1004.0)</f>
        <v>1004</v>
      </c>
      <c r="B1005" s="6" t="str">
        <f>IFERROR(__xludf.DUMMYFUNCTION("""COMPUTED_VALUE"""),"Pengaruh Lingkungan Keluarga, Modal Usaha, dan Motivasi Terhadap Minat Berwirausaha Generasi Muda di Desa Wisata Kreatif Kenep Sukoharjo")</f>
        <v>Pengaruh Lingkungan Keluarga, Modal Usaha, dan Motivasi Terhadap Minat Berwirausaha Generasi Muda di Desa Wisata Kreatif Kenep Sukoharjo</v>
      </c>
      <c r="C1005" s="7">
        <f>IFERROR(__xludf.DUMMYFUNCTION("""COMPUTED_VALUE"""),2025.0)</f>
        <v>2025</v>
      </c>
      <c r="D1005" s="8" t="str">
        <f>IFERROR(__xludf.DUMMYFUNCTION("""COMPUTED_VALUE"""),"2024/2025")</f>
        <v>2024/2025</v>
      </c>
      <c r="E1005" s="9">
        <f>IFERROR(__xludf.DUMMYFUNCTION("""COMPUTED_VALUE"""),45779.0)</f>
        <v>45779</v>
      </c>
      <c r="F1005" s="5" t="str">
        <f>IFERROR(__xludf.DUMMYFUNCTION("""COMPUTED_VALUE"""),"Genap")</f>
        <v>Genap</v>
      </c>
      <c r="G1005" s="5" t="str">
        <f>IFERROR(__xludf.DUMMYFUNCTION("""COMPUTED_VALUE"""),"Manajemen")</f>
        <v>Manajemen</v>
      </c>
      <c r="H1005" s="10" t="str">
        <f>IFERROR(__xludf.DUMMYFUNCTION("""COMPUTED_VALUE"""),"Mahasiswa")</f>
        <v>Mahasiswa</v>
      </c>
      <c r="I1005" s="6" t="str">
        <f>IFERROR(__xludf.DUMMYFUNCTION("""COMPUTED_VALUE"""),"Lisna Okvionita")</f>
        <v>Lisna Okvionita</v>
      </c>
      <c r="J1005" s="6" t="str">
        <f>IFERROR(__xludf.DUMMYFUNCTION("""COMPUTED_VALUE"""),"Aditya Liliyan")</f>
        <v>Aditya Liliyan</v>
      </c>
      <c r="K1005" s="6"/>
      <c r="L1005" s="6"/>
      <c r="M1005" s="6"/>
      <c r="N1005" s="6"/>
      <c r="O1005" s="6"/>
      <c r="P1005" s="10" t="str">
        <f>IFERROR(__xludf.DUMMYFUNCTION("""COMPUTED_VALUE"""),"Lisna Okvionita, Aditya Liliyan")</f>
        <v>Lisna Okvionita, Aditya Liliyan</v>
      </c>
      <c r="Q1005" s="11" t="str">
        <f>IFERROR(__xludf.DUMMYFUNCTION("""COMPUTED_VALUE"""),"https://repository.stiesurakarta.ac.id/submission/2f76a620-f257-4baa-851e-5b822d62b808")</f>
        <v>https://repository.stiesurakarta.ac.id/submission/2f76a620-f257-4baa-851e-5b822d62b808</v>
      </c>
      <c r="R1005" s="6"/>
    </row>
    <row r="1006">
      <c r="A1006" s="5">
        <f>IFERROR(__xludf.DUMMYFUNCTION("""COMPUTED_VALUE"""),1005.0)</f>
        <v>1005</v>
      </c>
      <c r="B1006" s="6" t="str">
        <f>IFERROR(__xludf.DUMMYFUNCTION("""COMPUTED_VALUE"""),"Pengaruh Perilaku Keuangan, Pendapatan, Gaya Hidup Terhadap Minat Investasi Emas Sales Marketing di Toko Mas Jawa Area Solo")</f>
        <v>Pengaruh Perilaku Keuangan, Pendapatan, Gaya Hidup Terhadap Minat Investasi Emas Sales Marketing di Toko Mas Jawa Area Solo</v>
      </c>
      <c r="C1006" s="7">
        <f>IFERROR(__xludf.DUMMYFUNCTION("""COMPUTED_VALUE"""),2025.0)</f>
        <v>2025</v>
      </c>
      <c r="D1006" s="8" t="str">
        <f>IFERROR(__xludf.DUMMYFUNCTION("""COMPUTED_VALUE"""),"2024/2025")</f>
        <v>2024/2025</v>
      </c>
      <c r="E1006" s="9">
        <f>IFERROR(__xludf.DUMMYFUNCTION("""COMPUTED_VALUE"""),45782.0)</f>
        <v>45782</v>
      </c>
      <c r="F1006" s="5" t="str">
        <f>IFERROR(__xludf.DUMMYFUNCTION("""COMPUTED_VALUE"""),"Genap")</f>
        <v>Genap</v>
      </c>
      <c r="G1006" s="5" t="str">
        <f>IFERROR(__xludf.DUMMYFUNCTION("""COMPUTED_VALUE"""),"Manajemen")</f>
        <v>Manajemen</v>
      </c>
      <c r="H1006" s="10" t="str">
        <f>IFERROR(__xludf.DUMMYFUNCTION("""COMPUTED_VALUE"""),"Mahasiswa")</f>
        <v>Mahasiswa</v>
      </c>
      <c r="I1006" s="6" t="str">
        <f>IFERROR(__xludf.DUMMYFUNCTION("""COMPUTED_VALUE"""),"Putri Retno Yuliasari")</f>
        <v>Putri Retno Yuliasari</v>
      </c>
      <c r="J1006" s="6" t="str">
        <f>IFERROR(__xludf.DUMMYFUNCTION("""COMPUTED_VALUE"""),"Ari Susanti")</f>
        <v>Ari Susanti</v>
      </c>
      <c r="K1006" s="6"/>
      <c r="L1006" s="6"/>
      <c r="M1006" s="6"/>
      <c r="N1006" s="6"/>
      <c r="O1006" s="6"/>
      <c r="P1006" s="10" t="str">
        <f>IFERROR(__xludf.DUMMYFUNCTION("""COMPUTED_VALUE"""),"Putri Retno Yuliasari, Ari Susanti")</f>
        <v>Putri Retno Yuliasari, Ari Susanti</v>
      </c>
      <c r="Q1006" s="11" t="str">
        <f>IFERROR(__xludf.DUMMYFUNCTION("""COMPUTED_VALUE"""),"https://journalcenter.org/index.php/jupea/article/view/3855")</f>
        <v>https://journalcenter.org/index.php/jupea/article/view/3855</v>
      </c>
      <c r="R1006" s="6"/>
    </row>
    <row r="1007">
      <c r="A1007" s="5">
        <f>IFERROR(__xludf.DUMMYFUNCTION("""COMPUTED_VALUE"""),1006.0)</f>
        <v>1006</v>
      </c>
      <c r="B1007" s="6" t="str">
        <f>IFERROR(__xludf.DUMMYFUNCTION("""COMPUTED_VALUE"""),"Pengaruh Teknologi Informasi, Pelatihan, Tingkat Pendidikan dan Sumber Daya Manusia terhadap Sistem Informasi Akuntansi pada PT Tridaya Sumber Rejeki")</f>
        <v>Pengaruh Teknologi Informasi, Pelatihan, Tingkat Pendidikan dan Sumber Daya Manusia terhadap Sistem Informasi Akuntansi pada PT Tridaya Sumber Rejeki</v>
      </c>
      <c r="C1007" s="7">
        <f>IFERROR(__xludf.DUMMYFUNCTION("""COMPUTED_VALUE"""),2025.0)</f>
        <v>2025</v>
      </c>
      <c r="D1007" s="8" t="str">
        <f>IFERROR(__xludf.DUMMYFUNCTION("""COMPUTED_VALUE"""),"2024/2025")</f>
        <v>2024/2025</v>
      </c>
      <c r="E1007" s="9">
        <f>IFERROR(__xludf.DUMMYFUNCTION("""COMPUTED_VALUE"""),45838.0)</f>
        <v>45838</v>
      </c>
      <c r="F1007" s="5" t="str">
        <f>IFERROR(__xludf.DUMMYFUNCTION("""COMPUTED_VALUE"""),"Genap")</f>
        <v>Genap</v>
      </c>
      <c r="G1007" s="5" t="str">
        <f>IFERROR(__xludf.DUMMYFUNCTION("""COMPUTED_VALUE"""),"Akuntansi")</f>
        <v>Akuntansi</v>
      </c>
      <c r="H1007" s="10" t="str">
        <f>IFERROR(__xludf.DUMMYFUNCTION("""COMPUTED_VALUE"""),"Mahasiswa")</f>
        <v>Mahasiswa</v>
      </c>
      <c r="I1007" s="6" t="str">
        <f>IFERROR(__xludf.DUMMYFUNCTION("""COMPUTED_VALUE"""),"Elisabeth Kristianingrum")</f>
        <v>Elisabeth Kristianingrum</v>
      </c>
      <c r="J1007" s="6" t="str">
        <f>IFERROR(__xludf.DUMMYFUNCTION("""COMPUTED_VALUE"""),"Ismunawan")</f>
        <v>Ismunawan</v>
      </c>
      <c r="K1007" s="6"/>
      <c r="L1007" s="6"/>
      <c r="M1007" s="6"/>
      <c r="N1007" s="6"/>
      <c r="O1007" s="6"/>
      <c r="P1007" s="10" t="str">
        <f>IFERROR(__xludf.DUMMYFUNCTION("""COMPUTED_VALUE"""),"Elisabeth Kristianingrum, Ismunawan")</f>
        <v>Elisabeth Kristianingrum, Ismunawan</v>
      </c>
      <c r="Q1007" s="11" t="str">
        <f>IFERROR(__xludf.DUMMYFUNCTION("""COMPUTED_VALUE"""),"https://jurnal.stiesurakarta.ac.id/index.php/jebdeker/issue/archive")</f>
        <v>https://jurnal.stiesurakarta.ac.id/index.php/jebdeker/issue/archive</v>
      </c>
      <c r="R1007" s="6"/>
    </row>
    <row r="1008">
      <c r="A1008" s="5">
        <f>IFERROR(__xludf.DUMMYFUNCTION("""COMPUTED_VALUE"""),1007.0)</f>
        <v>1007</v>
      </c>
      <c r="B1008" s="6" t="str">
        <f>IFERROR(__xludf.DUMMYFUNCTION("""COMPUTED_VALUE"""),"Analisi Dampak Kehadiran Minimarket Tiga Amanah Terhadap Omset Toko Kelontong Di Sekitar Jalan Rajawali Gonilan")</f>
        <v>Analisi Dampak Kehadiran Minimarket Tiga Amanah Terhadap Omset Toko Kelontong Di Sekitar Jalan Rajawali Gonilan</v>
      </c>
      <c r="C1008" s="7">
        <f>IFERROR(__xludf.DUMMYFUNCTION("""COMPUTED_VALUE"""),2025.0)</f>
        <v>2025</v>
      </c>
      <c r="D1008" s="8" t="str">
        <f>IFERROR(__xludf.DUMMYFUNCTION("""COMPUTED_VALUE"""),"2024/2025")</f>
        <v>2024/2025</v>
      </c>
      <c r="E1008" s="9">
        <f>IFERROR(__xludf.DUMMYFUNCTION("""COMPUTED_VALUE"""),45838.0)</f>
        <v>45838</v>
      </c>
      <c r="F1008" s="5" t="str">
        <f>IFERROR(__xludf.DUMMYFUNCTION("""COMPUTED_VALUE"""),"Genap")</f>
        <v>Genap</v>
      </c>
      <c r="G1008" s="5" t="str">
        <f>IFERROR(__xludf.DUMMYFUNCTION("""COMPUTED_VALUE"""),"Akuntansi")</f>
        <v>Akuntansi</v>
      </c>
      <c r="H1008" s="10" t="str">
        <f>IFERROR(__xludf.DUMMYFUNCTION("""COMPUTED_VALUE"""),"Mahasiswa")</f>
        <v>Mahasiswa</v>
      </c>
      <c r="I1008" s="6" t="str">
        <f>IFERROR(__xludf.DUMMYFUNCTION("""COMPUTED_VALUE"""),"Katherine Gisella Utomo")</f>
        <v>Katherine Gisella Utomo</v>
      </c>
      <c r="J1008" s="6" t="str">
        <f>IFERROR(__xludf.DUMMYFUNCTION("""COMPUTED_VALUE"""),"Era Trianita Saputra")</f>
        <v>Era Trianita Saputra</v>
      </c>
      <c r="K1008" s="6"/>
      <c r="L1008" s="6"/>
      <c r="M1008" s="6"/>
      <c r="N1008" s="6"/>
      <c r="O1008" s="6"/>
      <c r="P1008" s="10" t="str">
        <f>IFERROR(__xludf.DUMMYFUNCTION("""COMPUTED_VALUE"""),"Katherine Gisella Utomo, Era Trianita Saputra")</f>
        <v>Katherine Gisella Utomo, Era Trianita Saputra</v>
      </c>
      <c r="Q1008" s="11" t="str">
        <f>IFERROR(__xludf.DUMMYFUNCTION("""COMPUTED_VALUE"""),"https://jurnal.stiesurakarta.ac.id/index.php/jebdeker/issue/archive")</f>
        <v>https://jurnal.stiesurakarta.ac.id/index.php/jebdeker/issue/archive</v>
      </c>
      <c r="R1008" s="6"/>
    </row>
    <row r="1009">
      <c r="A1009" s="5">
        <f>IFERROR(__xludf.DUMMYFUNCTION("""COMPUTED_VALUE"""),1008.0)</f>
        <v>1008</v>
      </c>
      <c r="B1009" s="6" t="str">
        <f>IFERROR(__xludf.DUMMYFUNCTION("""COMPUTED_VALUE"""),"ANALISIS STRATEGI BISNIS DAN PENERAPAN INVENTORY MANAGEMENT PADA TOKO SEMBAKO TIGA SAUDARA")</f>
        <v>ANALISIS STRATEGI BISNIS DAN PENERAPAN INVENTORY MANAGEMENT PADA TOKO SEMBAKO TIGA SAUDARA</v>
      </c>
      <c r="C1009" s="7">
        <f>IFERROR(__xludf.DUMMYFUNCTION("""COMPUTED_VALUE"""),2025.0)</f>
        <v>2025</v>
      </c>
      <c r="D1009" s="8" t="str">
        <f>IFERROR(__xludf.DUMMYFUNCTION("""COMPUTED_VALUE"""),"2024/2025")</f>
        <v>2024/2025</v>
      </c>
      <c r="E1009" s="9">
        <f>IFERROR(__xludf.DUMMYFUNCTION("""COMPUTED_VALUE"""),45838.0)</f>
        <v>45838</v>
      </c>
      <c r="F1009" s="5" t="str">
        <f>IFERROR(__xludf.DUMMYFUNCTION("""COMPUTED_VALUE"""),"Genap")</f>
        <v>Genap</v>
      </c>
      <c r="G1009" s="5" t="str">
        <f>IFERROR(__xludf.DUMMYFUNCTION("""COMPUTED_VALUE"""),"Akuntansi")</f>
        <v>Akuntansi</v>
      </c>
      <c r="H1009" s="10" t="str">
        <f>IFERROR(__xludf.DUMMYFUNCTION("""COMPUTED_VALUE"""),"Mahasiswa")</f>
        <v>Mahasiswa</v>
      </c>
      <c r="I1009" s="6" t="str">
        <f>IFERROR(__xludf.DUMMYFUNCTION("""COMPUTED_VALUE"""),"Noer Khasanatul Fajariah Radi Putri")</f>
        <v>Noer Khasanatul Fajariah Radi Putri</v>
      </c>
      <c r="J1009" s="6" t="str">
        <f>IFERROR(__xludf.DUMMYFUNCTION("""COMPUTED_VALUE"""),"Dewi Ika Octavia")</f>
        <v>Dewi Ika Octavia</v>
      </c>
      <c r="K1009" s="6"/>
      <c r="L1009" s="6"/>
      <c r="M1009" s="6"/>
      <c r="N1009" s="6"/>
      <c r="O1009" s="6"/>
      <c r="P1009" s="10" t="str">
        <f>IFERROR(__xludf.DUMMYFUNCTION("""COMPUTED_VALUE"""),"Noer Khasanatul Fajariah Radi Putri, Dewi Ika Octavia")</f>
        <v>Noer Khasanatul Fajariah Radi Putri, Dewi Ika Octavia</v>
      </c>
      <c r="Q1009" s="11" t="str">
        <f>IFERROR(__xludf.DUMMYFUNCTION("""COMPUTED_VALUE"""),"https://jurnal.stiesurakarta.ac.id/index.php/jebdeker/issue/archive")</f>
        <v>https://jurnal.stiesurakarta.ac.id/index.php/jebdeker/issue/archive</v>
      </c>
      <c r="R1009" s="6"/>
    </row>
    <row r="1010">
      <c r="A1010" s="5">
        <f>IFERROR(__xludf.DUMMYFUNCTION("""COMPUTED_VALUE"""),1009.0)</f>
        <v>1009</v>
      </c>
      <c r="B1010" s="6" t="str">
        <f>IFERROR(__xludf.DUMMYFUNCTION("""COMPUTED_VALUE"""),"Management Inventory Produk Cat Menggunakan Metode Safety Stock dan Reorder Point Pada TB Gamping Pilihan Sukoharjo")</f>
        <v>Management Inventory Produk Cat Menggunakan Metode Safety Stock dan Reorder Point Pada TB Gamping Pilihan Sukoharjo</v>
      </c>
      <c r="C1010" s="7">
        <f>IFERROR(__xludf.DUMMYFUNCTION("""COMPUTED_VALUE"""),2025.0)</f>
        <v>2025</v>
      </c>
      <c r="D1010" s="8" t="str">
        <f>IFERROR(__xludf.DUMMYFUNCTION("""COMPUTED_VALUE"""),"2024/2025")</f>
        <v>2024/2025</v>
      </c>
      <c r="E1010" s="9">
        <f>IFERROR(__xludf.DUMMYFUNCTION("""COMPUTED_VALUE"""),45868.0)</f>
        <v>45868</v>
      </c>
      <c r="F1010" s="5" t="str">
        <f>IFERROR(__xludf.DUMMYFUNCTION("""COMPUTED_VALUE"""),"Genap")</f>
        <v>Genap</v>
      </c>
      <c r="G1010" s="5" t="str">
        <f>IFERROR(__xludf.DUMMYFUNCTION("""COMPUTED_VALUE"""),"Manajemen")</f>
        <v>Manajemen</v>
      </c>
      <c r="H1010" s="10" t="str">
        <f>IFERROR(__xludf.DUMMYFUNCTION("""COMPUTED_VALUE"""),"Mahasiswa")</f>
        <v>Mahasiswa</v>
      </c>
      <c r="I1010" s="6" t="str">
        <f>IFERROR(__xludf.DUMMYFUNCTION("""COMPUTED_VALUE"""),"Edenniera Zefanya Christyani")</f>
        <v>Edenniera Zefanya Christyani</v>
      </c>
      <c r="J1010" s="6" t="str">
        <f>IFERROR(__xludf.DUMMYFUNCTION("""COMPUTED_VALUE"""),"Ari Susanti")</f>
        <v>Ari Susanti</v>
      </c>
      <c r="K1010" s="6"/>
      <c r="L1010" s="6"/>
      <c r="M1010" s="6"/>
      <c r="N1010" s="6"/>
      <c r="O1010" s="6"/>
      <c r="P1010" s="10" t="str">
        <f>IFERROR(__xludf.DUMMYFUNCTION("""COMPUTED_VALUE"""),"Edenniera Zefanya Christyani, Ari Susanti")</f>
        <v>Edenniera Zefanya Christyani, Ari Susanti</v>
      </c>
      <c r="Q1010" s="11" t="str">
        <f>IFERROR(__xludf.DUMMYFUNCTION("""COMPUTED_VALUE"""),"https://journal.sinov.id/index.php/sinoveka/article/view/919")</f>
        <v>https://journal.sinov.id/index.php/sinoveka/article/view/919</v>
      </c>
      <c r="R1010" s="6"/>
    </row>
    <row r="1011">
      <c r="A1011" s="5">
        <f>IFERROR(__xludf.DUMMYFUNCTION("""COMPUTED_VALUE"""),1010.0)</f>
        <v>1010</v>
      </c>
      <c r="B1011" s="6" t="str">
        <f>IFERROR(__xludf.DUMMYFUNCTION("""COMPUTED_VALUE"""),"Pengaruh Literasi Keuangan, Financial Self Efficacy, Locus Of Control, Dan Fintech Payment Terhadap Perilaku Manajemen Keuangan Mahasiswa Di Soloraya")</f>
        <v>Pengaruh Literasi Keuangan, Financial Self Efficacy, Locus Of Control, Dan Fintech Payment Terhadap Perilaku Manajemen Keuangan Mahasiswa Di Soloraya</v>
      </c>
      <c r="C1011" s="7">
        <f>IFERROR(__xludf.DUMMYFUNCTION("""COMPUTED_VALUE"""),2025.0)</f>
        <v>2025</v>
      </c>
      <c r="D1011" s="8" t="str">
        <f>IFERROR(__xludf.DUMMYFUNCTION("""COMPUTED_VALUE"""),"2024/2025")</f>
        <v>2024/2025</v>
      </c>
      <c r="E1011" s="9">
        <f>IFERROR(__xludf.DUMMYFUNCTION("""COMPUTED_VALUE"""),45868.0)</f>
        <v>45868</v>
      </c>
      <c r="F1011" s="5" t="str">
        <f>IFERROR(__xludf.DUMMYFUNCTION("""COMPUTED_VALUE"""),"Genap")</f>
        <v>Genap</v>
      </c>
      <c r="G1011" s="5" t="str">
        <f>IFERROR(__xludf.DUMMYFUNCTION("""COMPUTED_VALUE"""),"Manajemen")</f>
        <v>Manajemen</v>
      </c>
      <c r="H1011" s="10" t="str">
        <f>IFERROR(__xludf.DUMMYFUNCTION("""COMPUTED_VALUE"""),"Mahasiswa")</f>
        <v>Mahasiswa</v>
      </c>
      <c r="I1011" s="6" t="str">
        <f>IFERROR(__xludf.DUMMYFUNCTION("""COMPUTED_VALUE"""),"Lusi Endah Mawarni")</f>
        <v>Lusi Endah Mawarni</v>
      </c>
      <c r="J1011" s="6" t="str">
        <f>IFERROR(__xludf.DUMMYFUNCTION("""COMPUTED_VALUE"""),"Ari Susanti")</f>
        <v>Ari Susanti</v>
      </c>
      <c r="K1011" s="6"/>
      <c r="L1011" s="6"/>
      <c r="M1011" s="6"/>
      <c r="N1011" s="6"/>
      <c r="O1011" s="6"/>
      <c r="P1011" s="10" t="str">
        <f>IFERROR(__xludf.DUMMYFUNCTION("""COMPUTED_VALUE"""),"Lusi Endah Mawarni, Ari Susanti")</f>
        <v>Lusi Endah Mawarni, Ari Susanti</v>
      </c>
      <c r="Q1011" s="11" t="str">
        <f>IFERROR(__xludf.DUMMYFUNCTION("""COMPUTED_VALUE"""),"https://journal.sinov.id/index.php/sinoveka/article/view/923")</f>
        <v>https://journal.sinov.id/index.php/sinoveka/article/view/923</v>
      </c>
      <c r="R1011" s="6"/>
    </row>
    <row r="1012">
      <c r="A1012" s="5">
        <f>IFERROR(__xludf.DUMMYFUNCTION("""COMPUTED_VALUE"""),1011.0)</f>
        <v>1011</v>
      </c>
      <c r="B1012" s="6" t="str">
        <f>IFERROR(__xludf.DUMMYFUNCTION("""COMPUTED_VALUE"""),"Pengaruh Fear of Missing Out (FoMO), Kontrol Diri, dan Pengawasan Orang Tua terhadap Perilaku Kecanduan Penggunaan TikTok pada Remaja")</f>
        <v>Pengaruh Fear of Missing Out (FoMO), Kontrol Diri, dan Pengawasan Orang Tua terhadap Perilaku Kecanduan Penggunaan TikTok pada Remaja</v>
      </c>
      <c r="C1012" s="7">
        <f>IFERROR(__xludf.DUMMYFUNCTION("""COMPUTED_VALUE"""),2025.0)</f>
        <v>2025</v>
      </c>
      <c r="D1012" s="8" t="str">
        <f>IFERROR(__xludf.DUMMYFUNCTION("""COMPUTED_VALUE"""),"2024/2025")</f>
        <v>2024/2025</v>
      </c>
      <c r="E1012" s="9">
        <f>IFERROR(__xludf.DUMMYFUNCTION("""COMPUTED_VALUE"""),45902.0)</f>
        <v>45902</v>
      </c>
      <c r="F1012" s="5" t="str">
        <f>IFERROR(__xludf.DUMMYFUNCTION("""COMPUTED_VALUE"""),"Genap")</f>
        <v>Genap</v>
      </c>
      <c r="G1012" s="5" t="str">
        <f>IFERROR(__xludf.DUMMYFUNCTION("""COMPUTED_VALUE"""),"Manajemen")</f>
        <v>Manajemen</v>
      </c>
      <c r="H1012" s="10" t="str">
        <f>IFERROR(__xludf.DUMMYFUNCTION("""COMPUTED_VALUE"""),"Mahasiswa")</f>
        <v>Mahasiswa</v>
      </c>
      <c r="I1012" s="6" t="str">
        <f>IFERROR(__xludf.DUMMYFUNCTION("""COMPUTED_VALUE"""),"Aldi Alfansyah")</f>
        <v>Aldi Alfansyah</v>
      </c>
      <c r="J1012" s="6" t="str">
        <f>IFERROR(__xludf.DUMMYFUNCTION("""COMPUTED_VALUE"""),"Christiawan Hendratmoko")</f>
        <v>Christiawan Hendratmoko</v>
      </c>
      <c r="K1012" s="6"/>
      <c r="L1012" s="6"/>
      <c r="M1012" s="6"/>
      <c r="N1012" s="6"/>
      <c r="O1012" s="6"/>
      <c r="P1012" s="10" t="str">
        <f>IFERROR(__xludf.DUMMYFUNCTION("""COMPUTED_VALUE"""),"Aldi Alfansyah, Christiawan Hendratmoko")</f>
        <v>Aldi Alfansyah, Christiawan Hendratmoko</v>
      </c>
      <c r="Q1012" s="11" t="str">
        <f>IFERROR(__xludf.DUMMYFUNCTION("""COMPUTED_VALUE"""),"https://e-journal.upr.ac.id/index.php/pdhp/article/view/18886")</f>
        <v>https://e-journal.upr.ac.id/index.php/pdhp/article/view/18886</v>
      </c>
      <c r="R1012" s="6"/>
    </row>
    <row r="1013">
      <c r="A1013" s="5">
        <f>IFERROR(__xludf.DUMMYFUNCTION("""COMPUTED_VALUE"""),1012.0)</f>
        <v>1012</v>
      </c>
      <c r="B1013" s="6" t="str">
        <f>IFERROR(__xludf.DUMMYFUNCTION("""COMPUTED_VALUE"""),"Pengaruh Iklan Meta Ads Sebagai Media Pemasaran Digital (Studi Deskriptif Pada Akun @yuji.fotografi)")</f>
        <v>Pengaruh Iklan Meta Ads Sebagai Media Pemasaran Digital (Studi Deskriptif Pada Akun @yuji.fotografi)</v>
      </c>
      <c r="C1013" s="7">
        <f>IFERROR(__xludf.DUMMYFUNCTION("""COMPUTED_VALUE"""),2025.0)</f>
        <v>2025</v>
      </c>
      <c r="D1013" s="8" t="str">
        <f>IFERROR(__xludf.DUMMYFUNCTION("""COMPUTED_VALUE"""),"2024/2025")</f>
        <v>2024/2025</v>
      </c>
      <c r="E1013" s="9">
        <f>IFERROR(__xludf.DUMMYFUNCTION("""COMPUTED_VALUE"""),45792.0)</f>
        <v>45792</v>
      </c>
      <c r="F1013" s="5" t="str">
        <f>IFERROR(__xludf.DUMMYFUNCTION("""COMPUTED_VALUE"""),"Genap")</f>
        <v>Genap</v>
      </c>
      <c r="G1013" s="5" t="str">
        <f>IFERROR(__xludf.DUMMYFUNCTION("""COMPUTED_VALUE"""),"Manajemen")</f>
        <v>Manajemen</v>
      </c>
      <c r="H1013" s="10" t="str">
        <f>IFERROR(__xludf.DUMMYFUNCTION("""COMPUTED_VALUE"""),"Mahasiswa")</f>
        <v>Mahasiswa</v>
      </c>
      <c r="I1013" s="6" t="str">
        <f>IFERROR(__xludf.DUMMYFUNCTION("""COMPUTED_VALUE"""),"Aji Hemawan")</f>
        <v>Aji Hemawan</v>
      </c>
      <c r="J1013" s="6" t="str">
        <f>IFERROR(__xludf.DUMMYFUNCTION("""COMPUTED_VALUE"""),"Satria Veriansyah Wiguna")</f>
        <v>Satria Veriansyah Wiguna</v>
      </c>
      <c r="K1013" s="6"/>
      <c r="L1013" s="6"/>
      <c r="M1013" s="6"/>
      <c r="N1013" s="6"/>
      <c r="O1013" s="6"/>
      <c r="P1013" s="10" t="str">
        <f>IFERROR(__xludf.DUMMYFUNCTION("""COMPUTED_VALUE"""),"Aji Hemawan, Satria Veriansyah Wiguna")</f>
        <v>Aji Hemawan, Satria Veriansyah Wiguna</v>
      </c>
      <c r="Q1013" s="11" t="str">
        <f>IFERROR(__xludf.DUMMYFUNCTION("""COMPUTED_VALUE"""),"https://repository.stiesurakarta.ac.id/submission/6a7f99e8-1609-4964-acbe-844f3efa7c53")</f>
        <v>https://repository.stiesurakarta.ac.id/submission/6a7f99e8-1609-4964-acbe-844f3efa7c53</v>
      </c>
      <c r="R1013" s="6"/>
    </row>
    <row r="1014">
      <c r="A1014" s="5">
        <f>IFERROR(__xludf.DUMMYFUNCTION("""COMPUTED_VALUE"""),1013.0)</f>
        <v>1013</v>
      </c>
      <c r="B1014" s="6" t="str">
        <f>IFERROR(__xludf.DUMMYFUNCTION("""COMPUTED_VALUE"""),"Peningkatan Kualitas Bengkel Annur Sukoharjo")</f>
        <v>Peningkatan Kualitas Bengkel Annur Sukoharjo</v>
      </c>
      <c r="C1014" s="7">
        <f>IFERROR(__xludf.DUMMYFUNCTION("""COMPUTED_VALUE"""),2025.0)</f>
        <v>2025</v>
      </c>
      <c r="D1014" s="8" t="str">
        <f>IFERROR(__xludf.DUMMYFUNCTION("""COMPUTED_VALUE"""),"2024/2025")</f>
        <v>2024/2025</v>
      </c>
      <c r="E1014" s="9">
        <f>IFERROR(__xludf.DUMMYFUNCTION("""COMPUTED_VALUE"""),45793.0)</f>
        <v>45793</v>
      </c>
      <c r="F1014" s="5" t="str">
        <f>IFERROR(__xludf.DUMMYFUNCTION("""COMPUTED_VALUE"""),"Genap")</f>
        <v>Genap</v>
      </c>
      <c r="G1014" s="5" t="str">
        <f>IFERROR(__xludf.DUMMYFUNCTION("""COMPUTED_VALUE"""),"Manajemen")</f>
        <v>Manajemen</v>
      </c>
      <c r="H1014" s="10" t="str">
        <f>IFERROR(__xludf.DUMMYFUNCTION("""COMPUTED_VALUE"""),"Mahasiswa")</f>
        <v>Mahasiswa</v>
      </c>
      <c r="I1014" s="6" t="str">
        <f>IFERROR(__xludf.DUMMYFUNCTION("""COMPUTED_VALUE"""),"Muh Nur Rokhim")</f>
        <v>Muh Nur Rokhim</v>
      </c>
      <c r="J1014" s="6" t="str">
        <f>IFERROR(__xludf.DUMMYFUNCTION("""COMPUTED_VALUE"""),"Aditya Liliyan")</f>
        <v>Aditya Liliyan</v>
      </c>
      <c r="K1014" s="6"/>
      <c r="L1014" s="6"/>
      <c r="M1014" s="6"/>
      <c r="N1014" s="6"/>
      <c r="O1014" s="6"/>
      <c r="P1014" s="10" t="str">
        <f>IFERROR(__xludf.DUMMYFUNCTION("""COMPUTED_VALUE"""),"Muh Nur Rokhim, Aditya Liliyan")</f>
        <v>Muh Nur Rokhim, Aditya Liliyan</v>
      </c>
      <c r="Q1014" s="11" t="str">
        <f>IFERROR(__xludf.DUMMYFUNCTION("""COMPUTED_VALUE"""),"https://repository.stiesurakarta.ac.id/submission/9dfc81ca-5be4-4110-9f07-1645aca4ca84")</f>
        <v>https://repository.stiesurakarta.ac.id/submission/9dfc81ca-5be4-4110-9f07-1645aca4ca84</v>
      </c>
      <c r="R1014" s="6"/>
    </row>
    <row r="1015">
      <c r="A1015" s="5">
        <f>IFERROR(__xludf.DUMMYFUNCTION("""COMPUTED_VALUE"""),1014.0)</f>
        <v>1014</v>
      </c>
      <c r="B1015" s="6" t="str">
        <f>IFERROR(__xludf.DUMMYFUNCTION("""COMPUTED_VALUE"""),"Pengaruh Stres Kerja, Motivasi Kerja dan Kompensasi Terhadap Kinerja Karyawan Pada PT. FIF Group Solo")</f>
        <v>Pengaruh Stres Kerja, Motivasi Kerja dan Kompensasi Terhadap Kinerja Karyawan Pada PT. FIF Group Solo</v>
      </c>
      <c r="C1015" s="7">
        <f>IFERROR(__xludf.DUMMYFUNCTION("""COMPUTED_VALUE"""),2025.0)</f>
        <v>2025</v>
      </c>
      <c r="D1015" s="8" t="str">
        <f>IFERROR(__xludf.DUMMYFUNCTION("""COMPUTED_VALUE"""),"2024/2025")</f>
        <v>2024/2025</v>
      </c>
      <c r="E1015" s="9">
        <f>IFERROR(__xludf.DUMMYFUNCTION("""COMPUTED_VALUE"""),45798.0)</f>
        <v>45798</v>
      </c>
      <c r="F1015" s="5" t="str">
        <f>IFERROR(__xludf.DUMMYFUNCTION("""COMPUTED_VALUE"""),"Genap")</f>
        <v>Genap</v>
      </c>
      <c r="G1015" s="5" t="str">
        <f>IFERROR(__xludf.DUMMYFUNCTION("""COMPUTED_VALUE"""),"Manajemen")</f>
        <v>Manajemen</v>
      </c>
      <c r="H1015" s="10" t="str">
        <f>IFERROR(__xludf.DUMMYFUNCTION("""COMPUTED_VALUE"""),"Mahasiswa")</f>
        <v>Mahasiswa</v>
      </c>
      <c r="I1015" s="6" t="str">
        <f>IFERROR(__xludf.DUMMYFUNCTION("""COMPUTED_VALUE"""),"Nugroho Setyo Ajie Pamungkas")</f>
        <v>Nugroho Setyo Ajie Pamungkas</v>
      </c>
      <c r="J1015" s="6" t="str">
        <f>IFERROR(__xludf.DUMMYFUNCTION("""COMPUTED_VALUE"""),"Aditya Liliyan")</f>
        <v>Aditya Liliyan</v>
      </c>
      <c r="K1015" s="6"/>
      <c r="L1015" s="6"/>
      <c r="M1015" s="6"/>
      <c r="N1015" s="6"/>
      <c r="O1015" s="6"/>
      <c r="P1015" s="10" t="str">
        <f>IFERROR(__xludf.DUMMYFUNCTION("""COMPUTED_VALUE"""),"Nugroho Setyo Ajie Pamungkas, Aditya Liliyan")</f>
        <v>Nugroho Setyo Ajie Pamungkas, Aditya Liliyan</v>
      </c>
      <c r="Q1015" s="11" t="str">
        <f>IFERROR(__xludf.DUMMYFUNCTION("""COMPUTED_VALUE"""),"https://repository.stiesurakarta.ac.id/submission/f67f8290-184a-48e4-97e5-de615f434b62")</f>
        <v>https://repository.stiesurakarta.ac.id/submission/f67f8290-184a-48e4-97e5-de615f434b62</v>
      </c>
      <c r="R1015" s="6"/>
    </row>
    <row r="1016">
      <c r="A1016" s="5">
        <f>IFERROR(__xludf.DUMMYFUNCTION("""COMPUTED_VALUE"""),1015.0)</f>
        <v>1015</v>
      </c>
      <c r="B1016" s="6" t="str">
        <f>IFERROR(__xludf.DUMMYFUNCTION("""COMPUTED_VALUE"""),"Pengaruh Media Sosial Pada Strategi Pemasaran dan Kualitas Pelayanan Dalam Meningkatkan Branding Usaha Catering ( Studi Pada Konsumen Catering di Kota Solo Raya )")</f>
        <v>Pengaruh Media Sosial Pada Strategi Pemasaran dan Kualitas Pelayanan Dalam Meningkatkan Branding Usaha Catering ( Studi Pada Konsumen Catering di Kota Solo Raya )</v>
      </c>
      <c r="C1016" s="7">
        <f>IFERROR(__xludf.DUMMYFUNCTION("""COMPUTED_VALUE"""),2025.0)</f>
        <v>2025</v>
      </c>
      <c r="D1016" s="8" t="str">
        <f>IFERROR(__xludf.DUMMYFUNCTION("""COMPUTED_VALUE"""),"2024/2025")</f>
        <v>2024/2025</v>
      </c>
      <c r="E1016" s="9">
        <f>IFERROR(__xludf.DUMMYFUNCTION("""COMPUTED_VALUE"""),45799.0)</f>
        <v>45799</v>
      </c>
      <c r="F1016" s="5" t="str">
        <f>IFERROR(__xludf.DUMMYFUNCTION("""COMPUTED_VALUE"""),"Genap")</f>
        <v>Genap</v>
      </c>
      <c r="G1016" s="5" t="str">
        <f>IFERROR(__xludf.DUMMYFUNCTION("""COMPUTED_VALUE"""),"Manajemen")</f>
        <v>Manajemen</v>
      </c>
      <c r="H1016" s="10" t="str">
        <f>IFERROR(__xludf.DUMMYFUNCTION("""COMPUTED_VALUE"""),"Mahasiswa")</f>
        <v>Mahasiswa</v>
      </c>
      <c r="I1016" s="6" t="str">
        <f>IFERROR(__xludf.DUMMYFUNCTION("""COMPUTED_VALUE"""),"Helsa Syahda Winaya")</f>
        <v>Helsa Syahda Winaya</v>
      </c>
      <c r="J1016" s="6" t="str">
        <f>IFERROR(__xludf.DUMMYFUNCTION("""COMPUTED_VALUE"""),"Heny Kurnianingsih")</f>
        <v>Heny Kurnianingsih</v>
      </c>
      <c r="K1016" s="6"/>
      <c r="L1016" s="6"/>
      <c r="M1016" s="6"/>
      <c r="N1016" s="6"/>
      <c r="O1016" s="6"/>
      <c r="P1016" s="10" t="str">
        <f>IFERROR(__xludf.DUMMYFUNCTION("""COMPUTED_VALUE"""),"Helsa Syahda Winaya, Heny Kurnianingsih")</f>
        <v>Helsa Syahda Winaya, Heny Kurnianingsih</v>
      </c>
      <c r="Q1016" s="11" t="str">
        <f>IFERROR(__xludf.DUMMYFUNCTION("""COMPUTED_VALUE"""),"https://repository.stiesurakarta.ac.id/submission/45ca3a96-af93-4a15-bc9c-7bf1fe68b8c1")</f>
        <v>https://repository.stiesurakarta.ac.id/submission/45ca3a96-af93-4a15-bc9c-7bf1fe68b8c1</v>
      </c>
      <c r="R1016" s="6"/>
    </row>
    <row r="1017">
      <c r="A1017" s="5">
        <f>IFERROR(__xludf.DUMMYFUNCTION("""COMPUTED_VALUE"""),1016.0)</f>
        <v>1016</v>
      </c>
      <c r="B1017" s="6" t="str">
        <f>IFERROR(__xludf.DUMMYFUNCTION("""COMPUTED_VALUE"""),"Kolaborasi Kreatif Produk Jersey Sebagai Upaya Peningkatan Engagement Akun Instagram @Octopusapparel.Id")</f>
        <v>Kolaborasi Kreatif Produk Jersey Sebagai Upaya Peningkatan Engagement Akun Instagram @Octopusapparel.Id</v>
      </c>
      <c r="C1017" s="7">
        <f>IFERROR(__xludf.DUMMYFUNCTION("""COMPUTED_VALUE"""),2025.0)</f>
        <v>2025</v>
      </c>
      <c r="D1017" s="8" t="str">
        <f>IFERROR(__xludf.DUMMYFUNCTION("""COMPUTED_VALUE"""),"2024/2025")</f>
        <v>2024/2025</v>
      </c>
      <c r="E1017" s="9">
        <f>IFERROR(__xludf.DUMMYFUNCTION("""COMPUTED_VALUE"""),45810.0)</f>
        <v>45810</v>
      </c>
      <c r="F1017" s="5" t="str">
        <f>IFERROR(__xludf.DUMMYFUNCTION("""COMPUTED_VALUE"""),"Genap")</f>
        <v>Genap</v>
      </c>
      <c r="G1017" s="5" t="str">
        <f>IFERROR(__xludf.DUMMYFUNCTION("""COMPUTED_VALUE"""),"Manajemen")</f>
        <v>Manajemen</v>
      </c>
      <c r="H1017" s="10" t="str">
        <f>IFERROR(__xludf.DUMMYFUNCTION("""COMPUTED_VALUE"""),"Mahasiswa")</f>
        <v>Mahasiswa</v>
      </c>
      <c r="I1017" s="6" t="str">
        <f>IFERROR(__xludf.DUMMYFUNCTION("""COMPUTED_VALUE"""),"Zakiyyah Hana Amalia")</f>
        <v>Zakiyyah Hana Amalia</v>
      </c>
      <c r="J1017" s="6" t="str">
        <f>IFERROR(__xludf.DUMMYFUNCTION("""COMPUTED_VALUE"""),"Gilang Habib Azky Pratama")</f>
        <v>Gilang Habib Azky Pratama</v>
      </c>
      <c r="K1017" s="6"/>
      <c r="L1017" s="6"/>
      <c r="M1017" s="6"/>
      <c r="N1017" s="6"/>
      <c r="O1017" s="6"/>
      <c r="P1017" s="10" t="str">
        <f>IFERROR(__xludf.DUMMYFUNCTION("""COMPUTED_VALUE"""),"Zakiyyah Hana Amalia, Gilang Habib Azky Pratama")</f>
        <v>Zakiyyah Hana Amalia, Gilang Habib Azky Pratama</v>
      </c>
      <c r="Q1017" s="11" t="str">
        <f>IFERROR(__xludf.DUMMYFUNCTION("""COMPUTED_VALUE"""),"https://repository.stiesurakarta.ac.id/submission/5f456a05-bf6e-4372-9c2b-c567ee757045")</f>
        <v>https://repository.stiesurakarta.ac.id/submission/5f456a05-bf6e-4372-9c2b-c567ee757045</v>
      </c>
      <c r="R1017" s="6"/>
    </row>
    <row r="1018">
      <c r="A1018" s="5">
        <f>IFERROR(__xludf.DUMMYFUNCTION("""COMPUTED_VALUE"""),1017.0)</f>
        <v>1017</v>
      </c>
      <c r="B1018" s="6" t="str">
        <f>IFERROR(__xludf.DUMMYFUNCTION("""COMPUTED_VALUE"""),"PENGARUH BRAND IMAGE, HARGA, DAN KUALITAS PRODUK TERHADAP KEPUTUSAN PEMBELIAN PRODUK LIPSTIK WARDAH DI SOLO RAYA")</f>
        <v>PENGARUH BRAND IMAGE, HARGA, DAN KUALITAS PRODUK TERHADAP KEPUTUSAN PEMBELIAN PRODUK LIPSTIK WARDAH DI SOLO RAYA</v>
      </c>
      <c r="C1018" s="7">
        <f>IFERROR(__xludf.DUMMYFUNCTION("""COMPUTED_VALUE"""),2025.0)</f>
        <v>2025</v>
      </c>
      <c r="D1018" s="8" t="str">
        <f>IFERROR(__xludf.DUMMYFUNCTION("""COMPUTED_VALUE"""),"2024/2025")</f>
        <v>2024/2025</v>
      </c>
      <c r="E1018" s="9">
        <f>IFERROR(__xludf.DUMMYFUNCTION("""COMPUTED_VALUE"""),45811.0)</f>
        <v>45811</v>
      </c>
      <c r="F1018" s="5" t="str">
        <f>IFERROR(__xludf.DUMMYFUNCTION("""COMPUTED_VALUE"""),"Genap")</f>
        <v>Genap</v>
      </c>
      <c r="G1018" s="5" t="str">
        <f>IFERROR(__xludf.DUMMYFUNCTION("""COMPUTED_VALUE"""),"Manajemen")</f>
        <v>Manajemen</v>
      </c>
      <c r="H1018" s="10" t="str">
        <f>IFERROR(__xludf.DUMMYFUNCTION("""COMPUTED_VALUE"""),"Mahasiswa")</f>
        <v>Mahasiswa</v>
      </c>
      <c r="I1018" s="6" t="str">
        <f>IFERROR(__xludf.DUMMYFUNCTION("""COMPUTED_VALUE"""),"Agus Tin Ayu Aryanti")</f>
        <v>Agus Tin Ayu Aryanti</v>
      </c>
      <c r="J1018" s="6" t="str">
        <f>IFERROR(__xludf.DUMMYFUNCTION("""COMPUTED_VALUE"""),"Aditya Liliyan")</f>
        <v>Aditya Liliyan</v>
      </c>
      <c r="K1018" s="6"/>
      <c r="L1018" s="6"/>
      <c r="M1018" s="6"/>
      <c r="N1018" s="6"/>
      <c r="O1018" s="6"/>
      <c r="P1018" s="10" t="str">
        <f>IFERROR(__xludf.DUMMYFUNCTION("""COMPUTED_VALUE"""),"Agus Tin Ayu Aryanti, Aditya Liliyan")</f>
        <v>Agus Tin Ayu Aryanti, Aditya Liliyan</v>
      </c>
      <c r="Q1018" s="11" t="str">
        <f>IFERROR(__xludf.DUMMYFUNCTION("""COMPUTED_VALUE"""),"https://repository.stiesurakarta.ac.id/submission/f82b9ff3-db95-4922-9a2f-555cbc06020b")</f>
        <v>https://repository.stiesurakarta.ac.id/submission/f82b9ff3-db95-4922-9a2f-555cbc06020b</v>
      </c>
      <c r="R1018" s="6"/>
    </row>
    <row r="1019">
      <c r="A1019" s="5">
        <f>IFERROR(__xludf.DUMMYFUNCTION("""COMPUTED_VALUE"""),1018.0)</f>
        <v>1018</v>
      </c>
      <c r="B1019" s="6" t="str">
        <f>IFERROR(__xludf.DUMMYFUNCTION("""COMPUTED_VALUE"""),"Efektivitas Iklan Meta Ads Dalam Penjualan Buku 75 Materi Kultum Selama Bulan Ramadan Tahun 2025 “Penerbit Insan Kamil Solo”")</f>
        <v>Efektivitas Iklan Meta Ads Dalam Penjualan Buku 75 Materi Kultum Selama Bulan Ramadan Tahun 2025 “Penerbit Insan Kamil Solo”</v>
      </c>
      <c r="C1019" s="7">
        <f>IFERROR(__xludf.DUMMYFUNCTION("""COMPUTED_VALUE"""),2025.0)</f>
        <v>2025</v>
      </c>
      <c r="D1019" s="8" t="str">
        <f>IFERROR(__xludf.DUMMYFUNCTION("""COMPUTED_VALUE"""),"2024/2025")</f>
        <v>2024/2025</v>
      </c>
      <c r="E1019" s="9">
        <f>IFERROR(__xludf.DUMMYFUNCTION("""COMPUTED_VALUE"""),45811.0)</f>
        <v>45811</v>
      </c>
      <c r="F1019" s="5" t="str">
        <f>IFERROR(__xludf.DUMMYFUNCTION("""COMPUTED_VALUE"""),"Genap")</f>
        <v>Genap</v>
      </c>
      <c r="G1019" s="5" t="str">
        <f>IFERROR(__xludf.DUMMYFUNCTION("""COMPUTED_VALUE"""),"Manajemen")</f>
        <v>Manajemen</v>
      </c>
      <c r="H1019" s="10" t="str">
        <f>IFERROR(__xludf.DUMMYFUNCTION("""COMPUTED_VALUE"""),"Mahasiswa")</f>
        <v>Mahasiswa</v>
      </c>
      <c r="I1019" s="6" t="str">
        <f>IFERROR(__xludf.DUMMYFUNCTION("""COMPUTED_VALUE"""),"Raihan")</f>
        <v>Raihan</v>
      </c>
      <c r="J1019" s="6" t="str">
        <f>IFERROR(__xludf.DUMMYFUNCTION("""COMPUTED_VALUE"""),"Gilang Habib Azky Pratama")</f>
        <v>Gilang Habib Azky Pratama</v>
      </c>
      <c r="K1019" s="6"/>
      <c r="L1019" s="6"/>
      <c r="M1019" s="6"/>
      <c r="N1019" s="6"/>
      <c r="O1019" s="6"/>
      <c r="P1019" s="10" t="str">
        <f>IFERROR(__xludf.DUMMYFUNCTION("""COMPUTED_VALUE"""),"Raihan, Gilang Habib Azky Pratama")</f>
        <v>Raihan, Gilang Habib Azky Pratama</v>
      </c>
      <c r="Q1019" s="11" t="str">
        <f>IFERROR(__xludf.DUMMYFUNCTION("""COMPUTED_VALUE"""),"https://repository.stiesurakarta.ac.id/submission/d241203f-8b57-4904-88ff-440adbbfc233")</f>
        <v>https://repository.stiesurakarta.ac.id/submission/d241203f-8b57-4904-88ff-440adbbfc233</v>
      </c>
      <c r="R1019" s="6"/>
    </row>
    <row r="1020">
      <c r="A1020" s="5">
        <f>IFERROR(__xludf.DUMMYFUNCTION("""COMPUTED_VALUE"""),1019.0)</f>
        <v>1019</v>
      </c>
      <c r="B1020" s="6" t="str">
        <f>IFERROR(__xludf.DUMMYFUNCTION("""COMPUTED_VALUE"""),"Analisis Penggunaan Promosi, Citra Merek &amp; Reputasi Toko Pada Seller Shopee Terhadap Keputusan Pembelian Mahasiswa Stie Surakarta")</f>
        <v>Analisis Penggunaan Promosi, Citra Merek &amp; Reputasi Toko Pada Seller Shopee Terhadap Keputusan Pembelian Mahasiswa Stie Surakarta</v>
      </c>
      <c r="C1020" s="7">
        <f>IFERROR(__xludf.DUMMYFUNCTION("""COMPUTED_VALUE"""),2025.0)</f>
        <v>2025</v>
      </c>
      <c r="D1020" s="8" t="str">
        <f>IFERROR(__xludf.DUMMYFUNCTION("""COMPUTED_VALUE"""),"2024/2025")</f>
        <v>2024/2025</v>
      </c>
      <c r="E1020" s="9">
        <f>IFERROR(__xludf.DUMMYFUNCTION("""COMPUTED_VALUE"""),45811.0)</f>
        <v>45811</v>
      </c>
      <c r="F1020" s="5" t="str">
        <f>IFERROR(__xludf.DUMMYFUNCTION("""COMPUTED_VALUE"""),"Genap")</f>
        <v>Genap</v>
      </c>
      <c r="G1020" s="5" t="str">
        <f>IFERROR(__xludf.DUMMYFUNCTION("""COMPUTED_VALUE"""),"Manajemen")</f>
        <v>Manajemen</v>
      </c>
      <c r="H1020" s="10" t="str">
        <f>IFERROR(__xludf.DUMMYFUNCTION("""COMPUTED_VALUE"""),"Mahasiswa")</f>
        <v>Mahasiswa</v>
      </c>
      <c r="I1020" s="6" t="str">
        <f>IFERROR(__xludf.DUMMYFUNCTION("""COMPUTED_VALUE"""),"Caesar Sasangka Priatma A")</f>
        <v>Caesar Sasangka Priatma A</v>
      </c>
      <c r="J1020" s="6" t="str">
        <f>IFERROR(__xludf.DUMMYFUNCTION("""COMPUTED_VALUE"""),"Aditya Liliyan")</f>
        <v>Aditya Liliyan</v>
      </c>
      <c r="K1020" s="6"/>
      <c r="L1020" s="6"/>
      <c r="M1020" s="6"/>
      <c r="N1020" s="6"/>
      <c r="O1020" s="6"/>
      <c r="P1020" s="10" t="str">
        <f>IFERROR(__xludf.DUMMYFUNCTION("""COMPUTED_VALUE"""),"Caesar Sasangka Priatma A, Aditya Liliyan")</f>
        <v>Caesar Sasangka Priatma A, Aditya Liliyan</v>
      </c>
      <c r="Q1020" s="11" t="str">
        <f>IFERROR(__xludf.DUMMYFUNCTION("""COMPUTED_VALUE"""),"https://repository.stiesurakarta.ac.id/submission/35f87152-43c1-48c3-8b70-70ed65471184")</f>
        <v>https://repository.stiesurakarta.ac.id/submission/35f87152-43c1-48c3-8b70-70ed65471184</v>
      </c>
      <c r="R1020" s="6"/>
    </row>
    <row r="1021">
      <c r="A1021" s="5">
        <f>IFERROR(__xludf.DUMMYFUNCTION("""COMPUTED_VALUE"""),1020.0)</f>
        <v>1020</v>
      </c>
      <c r="B1021" s="6" t="str">
        <f>IFERROR(__xludf.DUMMYFUNCTION("""COMPUTED_VALUE"""),"Pengaruh Citra Merek, Harga, dan Kualitas Produk Terhadap Keputusan Pembelian Produk Hand &amp; Body Lotion Nivea di Surakarta")</f>
        <v>Pengaruh Citra Merek, Harga, dan Kualitas Produk Terhadap Keputusan Pembelian Produk Hand &amp; Body Lotion Nivea di Surakarta</v>
      </c>
      <c r="C1021" s="7">
        <f>IFERROR(__xludf.DUMMYFUNCTION("""COMPUTED_VALUE"""),2025.0)</f>
        <v>2025</v>
      </c>
      <c r="D1021" s="8" t="str">
        <f>IFERROR(__xludf.DUMMYFUNCTION("""COMPUTED_VALUE"""),"2024/2025")</f>
        <v>2024/2025</v>
      </c>
      <c r="E1021" s="9">
        <f>IFERROR(__xludf.DUMMYFUNCTION("""COMPUTED_VALUE"""),45817.0)</f>
        <v>45817</v>
      </c>
      <c r="F1021" s="5" t="str">
        <f>IFERROR(__xludf.DUMMYFUNCTION("""COMPUTED_VALUE"""),"Genap")</f>
        <v>Genap</v>
      </c>
      <c r="G1021" s="5" t="str">
        <f>IFERROR(__xludf.DUMMYFUNCTION("""COMPUTED_VALUE"""),"Manajemen")</f>
        <v>Manajemen</v>
      </c>
      <c r="H1021" s="10" t="str">
        <f>IFERROR(__xludf.DUMMYFUNCTION("""COMPUTED_VALUE"""),"Mahasiswa")</f>
        <v>Mahasiswa</v>
      </c>
      <c r="I1021" s="6" t="str">
        <f>IFERROR(__xludf.DUMMYFUNCTION("""COMPUTED_VALUE"""),"Nanda Herawati")</f>
        <v>Nanda Herawati</v>
      </c>
      <c r="J1021" s="6" t="str">
        <f>IFERROR(__xludf.DUMMYFUNCTION("""COMPUTED_VALUE"""),"Aditya Liliyan")</f>
        <v>Aditya Liliyan</v>
      </c>
      <c r="K1021" s="6"/>
      <c r="L1021" s="6"/>
      <c r="M1021" s="6"/>
      <c r="N1021" s="6"/>
      <c r="O1021" s="6"/>
      <c r="P1021" s="10" t="str">
        <f>IFERROR(__xludf.DUMMYFUNCTION("""COMPUTED_VALUE"""),"Nanda Herawati, Aditya Liliyan")</f>
        <v>Nanda Herawati, Aditya Liliyan</v>
      </c>
      <c r="Q1021" s="11" t="str">
        <f>IFERROR(__xludf.DUMMYFUNCTION("""COMPUTED_VALUE"""),"https://repository.stiesurakarta.ac.id/submission/f1053002-1db2-4904-a5ec-135953ec99a1")</f>
        <v>https://repository.stiesurakarta.ac.id/submission/f1053002-1db2-4904-a5ec-135953ec99a1</v>
      </c>
      <c r="R1021" s="6"/>
    </row>
    <row r="1022">
      <c r="A1022" s="5">
        <f>IFERROR(__xludf.DUMMYFUNCTION("""COMPUTED_VALUE"""),1021.0)</f>
        <v>1021</v>
      </c>
      <c r="B1022" s="6" t="str">
        <f>IFERROR(__xludf.DUMMYFUNCTION("""COMPUTED_VALUE"""),"Pengaruh Pembayaran Non Tunai Pada Efisiensi Akuntansi Café Tiga Tjeret")</f>
        <v>Pengaruh Pembayaran Non Tunai Pada Efisiensi Akuntansi Café Tiga Tjeret</v>
      </c>
      <c r="C1022" s="7">
        <f>IFERROR(__xludf.DUMMYFUNCTION("""COMPUTED_VALUE"""),2025.0)</f>
        <v>2025</v>
      </c>
      <c r="D1022" s="8" t="str">
        <f>IFERROR(__xludf.DUMMYFUNCTION("""COMPUTED_VALUE"""),"2024/2025")</f>
        <v>2024/2025</v>
      </c>
      <c r="E1022" s="9">
        <f>IFERROR(__xludf.DUMMYFUNCTION("""COMPUTED_VALUE"""),45791.0)</f>
        <v>45791</v>
      </c>
      <c r="F1022" s="5" t="str">
        <f>IFERROR(__xludf.DUMMYFUNCTION("""COMPUTED_VALUE"""),"Genap")</f>
        <v>Genap</v>
      </c>
      <c r="G1022" s="5" t="str">
        <f>IFERROR(__xludf.DUMMYFUNCTION("""COMPUTED_VALUE"""),"Akuntansi")</f>
        <v>Akuntansi</v>
      </c>
      <c r="H1022" s="10" t="str">
        <f>IFERROR(__xludf.DUMMYFUNCTION("""COMPUTED_VALUE"""),"Mahasiswa")</f>
        <v>Mahasiswa</v>
      </c>
      <c r="I1022" s="6" t="str">
        <f>IFERROR(__xludf.DUMMYFUNCTION("""COMPUTED_VALUE"""),"Ratna Yulia Andriani")</f>
        <v>Ratna Yulia Andriani</v>
      </c>
      <c r="J1022" s="6" t="str">
        <f>IFERROR(__xludf.DUMMYFUNCTION("""COMPUTED_VALUE"""),"Ismunawan")</f>
        <v>Ismunawan</v>
      </c>
      <c r="K1022" s="6"/>
      <c r="L1022" s="6"/>
      <c r="M1022" s="6"/>
      <c r="N1022" s="6"/>
      <c r="O1022" s="6"/>
      <c r="P1022" s="10" t="str">
        <f>IFERROR(__xludf.DUMMYFUNCTION("""COMPUTED_VALUE"""),"Ratna Yulia Andriani, Ismunawan")</f>
        <v>Ratna Yulia Andriani, Ismunawan</v>
      </c>
      <c r="Q1022" s="11" t="str">
        <f>IFERROR(__xludf.DUMMYFUNCTION("""COMPUTED_VALUE"""),"https://repository.stiesurakarta.ac.id/submission/bc1aa735-5bde-47e7-a410-4c96b1bc9f08")</f>
        <v>https://repository.stiesurakarta.ac.id/submission/bc1aa735-5bde-47e7-a410-4c96b1bc9f08</v>
      </c>
      <c r="R1022" s="6"/>
    </row>
    <row r="1023">
      <c r="A1023" s="5">
        <f>IFERROR(__xludf.DUMMYFUNCTION("""COMPUTED_VALUE"""),1022.0)</f>
        <v>1022</v>
      </c>
      <c r="B1023" s="6" t="str">
        <f>IFERROR(__xludf.DUMMYFUNCTION("""COMPUTED_VALUE"""),"Pengaruh Live Streaming Selling, Online Customer Review dan Diskon Harga Terhadap Pembelian Produk Scarlett di Shopee")</f>
        <v>Pengaruh Live Streaming Selling, Online Customer Review dan Diskon Harga Terhadap Pembelian Produk Scarlett di Shopee</v>
      </c>
      <c r="C1023" s="7">
        <f>IFERROR(__xludf.DUMMYFUNCTION("""COMPUTED_VALUE"""),2025.0)</f>
        <v>2025</v>
      </c>
      <c r="D1023" s="8" t="str">
        <f>IFERROR(__xludf.DUMMYFUNCTION("""COMPUTED_VALUE"""),"2024/2025")</f>
        <v>2024/2025</v>
      </c>
      <c r="E1023" s="9">
        <f>IFERROR(__xludf.DUMMYFUNCTION("""COMPUTED_VALUE"""),45791.0)</f>
        <v>45791</v>
      </c>
      <c r="F1023" s="5" t="str">
        <f>IFERROR(__xludf.DUMMYFUNCTION("""COMPUTED_VALUE"""),"Genap")</f>
        <v>Genap</v>
      </c>
      <c r="G1023" s="5" t="str">
        <f>IFERROR(__xludf.DUMMYFUNCTION("""COMPUTED_VALUE"""),"Manajemen")</f>
        <v>Manajemen</v>
      </c>
      <c r="H1023" s="10" t="str">
        <f>IFERROR(__xludf.DUMMYFUNCTION("""COMPUTED_VALUE"""),"Mahasiswa")</f>
        <v>Mahasiswa</v>
      </c>
      <c r="I1023" s="6" t="str">
        <f>IFERROR(__xludf.DUMMYFUNCTION("""COMPUTED_VALUE"""),"Dorotea Coryna Digiftnata")</f>
        <v>Dorotea Coryna Digiftnata</v>
      </c>
      <c r="J1023" s="6" t="str">
        <f>IFERROR(__xludf.DUMMYFUNCTION("""COMPUTED_VALUE"""),"Aditya Liliyan")</f>
        <v>Aditya Liliyan</v>
      </c>
      <c r="K1023" s="6"/>
      <c r="L1023" s="6"/>
      <c r="M1023" s="6"/>
      <c r="N1023" s="6"/>
      <c r="O1023" s="6"/>
      <c r="P1023" s="10" t="str">
        <f>IFERROR(__xludf.DUMMYFUNCTION("""COMPUTED_VALUE"""),"Dorotea Coryna Digiftnata, Aditya Liliyan")</f>
        <v>Dorotea Coryna Digiftnata, Aditya Liliyan</v>
      </c>
      <c r="Q1023" s="11" t="str">
        <f>IFERROR(__xludf.DUMMYFUNCTION("""COMPUTED_VALUE"""),"https://repository.stiesurakarta.ac.id/submission/a923bfe8-5a9f-4a45-b94c-f11a063cfc78")</f>
        <v>https://repository.stiesurakarta.ac.id/submission/a923bfe8-5a9f-4a45-b94c-f11a063cfc78</v>
      </c>
      <c r="R1023" s="6"/>
    </row>
    <row r="1024">
      <c r="A1024" s="5">
        <f>IFERROR(__xludf.DUMMYFUNCTION("""COMPUTED_VALUE"""),1023.0)</f>
        <v>1023</v>
      </c>
      <c r="B1024" s="6" t="str">
        <f>IFERROR(__xludf.DUMMYFUNCTION("""COMPUTED_VALUE"""),"Analisis Faktor-Faktor Penyebab Terjadinya Selisih Jumlah Stock Barang digudang PT. Solo Murni Boyolali Menggunakan Metode 5W+1H dan Fishbone Diagram")</f>
        <v>Analisis Faktor-Faktor Penyebab Terjadinya Selisih Jumlah Stock Barang digudang PT. Solo Murni Boyolali Menggunakan Metode 5W+1H dan Fishbone Diagram</v>
      </c>
      <c r="C1024" s="7">
        <f>IFERROR(__xludf.DUMMYFUNCTION("""COMPUTED_VALUE"""),2025.0)</f>
        <v>2025</v>
      </c>
      <c r="D1024" s="8" t="str">
        <f>IFERROR(__xludf.DUMMYFUNCTION("""COMPUTED_VALUE"""),"2024/2025")</f>
        <v>2024/2025</v>
      </c>
      <c r="E1024" s="9">
        <f>IFERROR(__xludf.DUMMYFUNCTION("""COMPUTED_VALUE"""),45723.0)</f>
        <v>45723</v>
      </c>
      <c r="F1024" s="5" t="str">
        <f>IFERROR(__xludf.DUMMYFUNCTION("""COMPUTED_VALUE"""),"Genap")</f>
        <v>Genap</v>
      </c>
      <c r="G1024" s="5" t="str">
        <f>IFERROR(__xludf.DUMMYFUNCTION("""COMPUTED_VALUE"""),"Manajemen")</f>
        <v>Manajemen</v>
      </c>
      <c r="H1024" s="10" t="str">
        <f>IFERROR(__xludf.DUMMYFUNCTION("""COMPUTED_VALUE"""),"Mahasiswa")</f>
        <v>Mahasiswa</v>
      </c>
      <c r="I1024" s="6" t="str">
        <f>IFERROR(__xludf.DUMMYFUNCTION("""COMPUTED_VALUE"""),"Nata Franciska")</f>
        <v>Nata Franciska</v>
      </c>
      <c r="J1024" s="6" t="str">
        <f>IFERROR(__xludf.DUMMYFUNCTION("""COMPUTED_VALUE"""),"Aditya Liliyan")</f>
        <v>Aditya Liliyan</v>
      </c>
      <c r="K1024" s="6"/>
      <c r="L1024" s="6"/>
      <c r="M1024" s="6"/>
      <c r="N1024" s="6"/>
      <c r="O1024" s="6"/>
      <c r="P1024" s="10" t="str">
        <f>IFERROR(__xludf.DUMMYFUNCTION("""COMPUTED_VALUE"""),"Nata Franciska, Aditya Liliyan")</f>
        <v>Nata Franciska, Aditya Liliyan</v>
      </c>
      <c r="Q1024" s="11" t="str">
        <f>IFERROR(__xludf.DUMMYFUNCTION("""COMPUTED_VALUE"""),"https://ejurnal.kampusakademik.my.id/index.php/jemba/article/view/785")</f>
        <v>https://ejurnal.kampusakademik.my.id/index.php/jemba/article/view/785</v>
      </c>
      <c r="R1024" s="6"/>
    </row>
    <row r="1025">
      <c r="A1025" s="5">
        <f>IFERROR(__xludf.DUMMYFUNCTION("""COMPUTED_VALUE"""),1024.0)</f>
        <v>1024</v>
      </c>
      <c r="B1025" s="6" t="str">
        <f>IFERROR(__xludf.DUMMYFUNCTION("""COMPUTED_VALUE"""),"FAKTOR YANG MEMPENGARUHI PROFITABILITAS SELAMA PANDEMI COVID-19 PERUSAHAAN SEKTOR KESEHATAN YANG TERDAFTAR DI BEI TAHUN 2020-2023")</f>
        <v>FAKTOR YANG MEMPENGARUHI PROFITABILITAS SELAMA PANDEMI COVID-19 PERUSAHAAN SEKTOR KESEHATAN YANG TERDAFTAR DI BEI TAHUN 2020-2023</v>
      </c>
      <c r="C1025" s="7">
        <f>IFERROR(__xludf.DUMMYFUNCTION("""COMPUTED_VALUE"""),2025.0)</f>
        <v>2025</v>
      </c>
      <c r="D1025" s="8" t="str">
        <f>IFERROR(__xludf.DUMMYFUNCTION("""COMPUTED_VALUE"""),"2024/2025")</f>
        <v>2024/2025</v>
      </c>
      <c r="E1025" s="9">
        <f>IFERROR(__xludf.DUMMYFUNCTION("""COMPUTED_VALUE"""),45813.0)</f>
        <v>45813</v>
      </c>
      <c r="F1025" s="5" t="str">
        <f>IFERROR(__xludf.DUMMYFUNCTION("""COMPUTED_VALUE"""),"Genap")</f>
        <v>Genap</v>
      </c>
      <c r="G1025" s="5" t="str">
        <f>IFERROR(__xludf.DUMMYFUNCTION("""COMPUTED_VALUE"""),"Akuntansi")</f>
        <v>Akuntansi</v>
      </c>
      <c r="H1025" s="10" t="str">
        <f>IFERROR(__xludf.DUMMYFUNCTION("""COMPUTED_VALUE"""),"Mahasiswa")</f>
        <v>Mahasiswa</v>
      </c>
      <c r="I1025" s="6" t="str">
        <f>IFERROR(__xludf.DUMMYFUNCTION("""COMPUTED_VALUE"""),"Sara Septyana Tri Utami")</f>
        <v>Sara Septyana Tri Utami</v>
      </c>
      <c r="J1025" s="6" t="str">
        <f>IFERROR(__xludf.DUMMYFUNCTION("""COMPUTED_VALUE"""),"Arif Nugroho Rachman")</f>
        <v>Arif Nugroho Rachman</v>
      </c>
      <c r="K1025" s="6"/>
      <c r="L1025" s="6"/>
      <c r="M1025" s="6"/>
      <c r="N1025" s="6"/>
      <c r="O1025" s="6"/>
      <c r="P1025" s="10" t="str">
        <f>IFERROR(__xludf.DUMMYFUNCTION("""COMPUTED_VALUE"""),"Sara Septyana Tri Utami, Arif Nugroho Rachman")</f>
        <v>Sara Septyana Tri Utami, Arif Nugroho Rachman</v>
      </c>
      <c r="Q1025" s="11" t="str">
        <f>IFERROR(__xludf.DUMMYFUNCTION("""COMPUTED_VALUE"""),"https://www.jurnalintelektiva.com/index.php/jurnal/article/view/1170")</f>
        <v>https://www.jurnalintelektiva.com/index.php/jurnal/article/view/1170</v>
      </c>
      <c r="R1025" s="6"/>
    </row>
    <row r="1026">
      <c r="A1026" s="5">
        <f>IFERROR(__xludf.DUMMYFUNCTION("""COMPUTED_VALUE"""),1025.0)</f>
        <v>1025</v>
      </c>
      <c r="B1026" s="6" t="str">
        <f>IFERROR(__xludf.DUMMYFUNCTION("""COMPUTED_VALUE"""),"AKUNTANSI UMKM (Teori dan Model Pengembangan Riset Terkini)")</f>
        <v>AKUNTANSI UMKM (Teori dan Model Pengembangan Riset Terkini)</v>
      </c>
      <c r="C1026" s="7">
        <f>IFERROR(__xludf.DUMMYFUNCTION("""COMPUTED_VALUE"""),2024.0)</f>
        <v>2024</v>
      </c>
      <c r="D1026" s="8" t="str">
        <f>IFERROR(__xludf.DUMMYFUNCTION("""COMPUTED_VALUE"""),"2023/2024")</f>
        <v>2023/2024</v>
      </c>
      <c r="E1026" s="9">
        <f>IFERROR(__xludf.DUMMYFUNCTION("""COMPUTED_VALUE"""),45516.0)</f>
        <v>45516</v>
      </c>
      <c r="F1026" s="5" t="str">
        <f>IFERROR(__xludf.DUMMYFUNCTION("""COMPUTED_VALUE"""),"Genap")</f>
        <v>Genap</v>
      </c>
      <c r="G1026" s="5" t="str">
        <f>IFERROR(__xludf.DUMMYFUNCTION("""COMPUTED_VALUE"""),"Akuntansi")</f>
        <v>Akuntansi</v>
      </c>
      <c r="H1026" s="10" t="str">
        <f>IFERROR(__xludf.DUMMYFUNCTION("""COMPUTED_VALUE"""),"Dosen")</f>
        <v>Dosen</v>
      </c>
      <c r="I1026" s="6" t="str">
        <f>IFERROR(__xludf.DUMMYFUNCTION("""COMPUTED_VALUE"""),"Arif Nugroho Rachman")</f>
        <v>Arif Nugroho Rachman</v>
      </c>
      <c r="J1026" s="6"/>
      <c r="K1026" s="6"/>
      <c r="L1026" s="6"/>
      <c r="M1026" s="6"/>
      <c r="N1026" s="6"/>
      <c r="O1026" s="6"/>
      <c r="P1026" s="10"/>
      <c r="Q1026" s="11" t="str">
        <f>IFERROR(__xludf.DUMMYFUNCTION("""COMPUTED_VALUE"""),"https://repository.penerbiteureka.com/publications/579574/akuntansi-umkm-teori-dan-model-pengembangan-riset-terkini")</f>
        <v>https://repository.penerbiteureka.com/publications/579574/akuntansi-umkm-teori-dan-model-pengembangan-riset-terkini</v>
      </c>
      <c r="R1026" s="6"/>
    </row>
    <row r="1027">
      <c r="A1027" s="5">
        <f>IFERROR(__xludf.DUMMYFUNCTION("""COMPUTED_VALUE"""),1026.0)</f>
        <v>1026</v>
      </c>
      <c r="B1027" s="6" t="str">
        <f>IFERROR(__xludf.DUMMYFUNCTION("""COMPUTED_VALUE"""),"ANALISIS TRANSPARANSI, AKUNTABILITAS, DAN EQUALITY TERHADAP EMPLOYEE PERFORMANCE")</f>
        <v>ANALISIS TRANSPARANSI, AKUNTABILITAS, DAN EQUALITY TERHADAP EMPLOYEE PERFORMANCE</v>
      </c>
      <c r="C1027" s="7">
        <f>IFERROR(__xludf.DUMMYFUNCTION("""COMPUTED_VALUE"""),2024.0)</f>
        <v>2024</v>
      </c>
      <c r="D1027" s="8" t="str">
        <f>IFERROR(__xludf.DUMMYFUNCTION("""COMPUTED_VALUE"""),"2024/2025")</f>
        <v>2024/2025</v>
      </c>
      <c r="E1027" s="9">
        <f>IFERROR(__xludf.DUMMYFUNCTION("""COMPUTED_VALUE"""),45623.0)</f>
        <v>45623</v>
      </c>
      <c r="F1027" s="5" t="str">
        <f>IFERROR(__xludf.DUMMYFUNCTION("""COMPUTED_VALUE"""),"Ganjil")</f>
        <v>Ganjil</v>
      </c>
      <c r="G1027" s="5" t="str">
        <f>IFERROR(__xludf.DUMMYFUNCTION("""COMPUTED_VALUE"""),"Manajemen")</f>
        <v>Manajemen</v>
      </c>
      <c r="H1027" s="10" t="str">
        <f>IFERROR(__xludf.DUMMYFUNCTION("""COMPUTED_VALUE"""),"Dosen")</f>
        <v>Dosen</v>
      </c>
      <c r="I1027" s="6" t="str">
        <f>IFERROR(__xludf.DUMMYFUNCTION("""COMPUTED_VALUE"""),"Muhammad Jalari")</f>
        <v>Muhammad Jalari</v>
      </c>
      <c r="J1027" s="6" t="str">
        <f>IFERROR(__xludf.DUMMYFUNCTION("""COMPUTED_VALUE"""),"Arif Nugroho Rachman")</f>
        <v>Arif Nugroho Rachman</v>
      </c>
      <c r="K1027" s="6"/>
      <c r="L1027" s="6"/>
      <c r="M1027" s="6"/>
      <c r="N1027" s="6"/>
      <c r="O1027" s="6"/>
      <c r="P1027" s="10"/>
      <c r="Q1027" s="11" t="str">
        <f>IFERROR(__xludf.DUMMYFUNCTION("""COMPUTED_VALUE"""),"https://jurnalintelektiva.com/index.php/jurnal/article/view/1110")</f>
        <v>https://jurnalintelektiva.com/index.php/jurnal/article/view/1110</v>
      </c>
      <c r="R1027" s="6"/>
    </row>
    <row r="1028">
      <c r="A1028" s="5">
        <f>IFERROR(__xludf.DUMMYFUNCTION("""COMPUTED_VALUE"""),1027.0)</f>
        <v>1027</v>
      </c>
      <c r="B1028" s="6" t="str">
        <f>IFERROR(__xludf.DUMMYFUNCTION("""COMPUTED_VALUE"""),"Isu Terkini Riset dan Manajemen")</f>
        <v>Isu Terkini Riset dan Manajemen</v>
      </c>
      <c r="C1028" s="7">
        <f>IFERROR(__xludf.DUMMYFUNCTION("""COMPUTED_VALUE"""),2024.0)</f>
        <v>2024</v>
      </c>
      <c r="D1028" s="8" t="str">
        <f>IFERROR(__xludf.DUMMYFUNCTION("""COMPUTED_VALUE"""),"2023/2024")</f>
        <v>2023/2024</v>
      </c>
      <c r="E1028" s="9">
        <f>IFERROR(__xludf.DUMMYFUNCTION("""COMPUTED_VALUE"""),45491.0)</f>
        <v>45491</v>
      </c>
      <c r="F1028" s="5" t="str">
        <f>IFERROR(__xludf.DUMMYFUNCTION("""COMPUTED_VALUE"""),"Genap")</f>
        <v>Genap</v>
      </c>
      <c r="G1028" s="5" t="str">
        <f>IFERROR(__xludf.DUMMYFUNCTION("""COMPUTED_VALUE"""),"Akuntansi")</f>
        <v>Akuntansi</v>
      </c>
      <c r="H1028" s="10" t="str">
        <f>IFERROR(__xludf.DUMMYFUNCTION("""COMPUTED_VALUE"""),"Dosen")</f>
        <v>Dosen</v>
      </c>
      <c r="I1028" s="6" t="str">
        <f>IFERROR(__xludf.DUMMYFUNCTION("""COMPUTED_VALUE"""),"Arif Nugroho Rachman")</f>
        <v>Arif Nugroho Rachman</v>
      </c>
      <c r="J1028" s="6"/>
      <c r="K1028" s="6"/>
      <c r="L1028" s="6"/>
      <c r="M1028" s="6"/>
      <c r="N1028" s="6"/>
      <c r="O1028" s="6"/>
      <c r="P1028" s="10"/>
      <c r="Q1028" s="11" t="str">
        <f>IFERROR(__xludf.DUMMYFUNCTION("""COMPUTED_VALUE"""),"https://repository.penerbiteureka.com/publications/569599/isu-terkini-riset-manajemen-bisnis-dan-ekonomi")</f>
        <v>https://repository.penerbiteureka.com/publications/569599/isu-terkini-riset-manajemen-bisnis-dan-ekonomi</v>
      </c>
      <c r="R1028" s="6"/>
    </row>
    <row r="1029">
      <c r="A1029" s="5">
        <f>IFERROR(__xludf.DUMMYFUNCTION("""COMPUTED_VALUE"""),1028.0)</f>
        <v>1028</v>
      </c>
      <c r="B1029" s="6" t="str">
        <f>IFERROR(__xludf.DUMMYFUNCTION("""COMPUTED_VALUE"""),"ANTI KLIMAKS PEMBIAYAAN BERMASALAH PADA KOPERASI SIMPAN PINJAM DAN PEMBIAYAAN SYARIAH BAITUL MAL WAT TAMWIL")</f>
        <v>ANTI KLIMAKS PEMBIAYAAN BERMASALAH PADA KOPERASI SIMPAN PINJAM DAN PEMBIAYAAN SYARIAH BAITUL MAL WAT TAMWIL</v>
      </c>
      <c r="C1029" s="7">
        <f>IFERROR(__xludf.DUMMYFUNCTION("""COMPUTED_VALUE"""),2025.0)</f>
        <v>2025</v>
      </c>
      <c r="D1029" s="8" t="str">
        <f>IFERROR(__xludf.DUMMYFUNCTION("""COMPUTED_VALUE"""),"2024/2025")</f>
        <v>2024/2025</v>
      </c>
      <c r="E1029" s="9">
        <f>IFERROR(__xludf.DUMMYFUNCTION("""COMPUTED_VALUE"""),45809.0)</f>
        <v>45809</v>
      </c>
      <c r="F1029" s="5" t="str">
        <f>IFERROR(__xludf.DUMMYFUNCTION("""COMPUTED_VALUE"""),"Genap")</f>
        <v>Genap</v>
      </c>
      <c r="G1029" s="5" t="str">
        <f>IFERROR(__xludf.DUMMYFUNCTION("""COMPUTED_VALUE"""),"Manajemen")</f>
        <v>Manajemen</v>
      </c>
      <c r="H1029" s="10" t="str">
        <f>IFERROR(__xludf.DUMMYFUNCTION("""COMPUTED_VALUE"""),"Dosen")</f>
        <v>Dosen</v>
      </c>
      <c r="I1029" s="6" t="str">
        <f>IFERROR(__xludf.DUMMYFUNCTION("""COMPUTED_VALUE"""),"Muhammad Jalari")</f>
        <v>Muhammad Jalari</v>
      </c>
      <c r="J1029" s="6" t="str">
        <f>IFERROR(__xludf.DUMMYFUNCTION("""COMPUTED_VALUE"""),"Arif Nugroho Rachman")</f>
        <v>Arif Nugroho Rachman</v>
      </c>
      <c r="K1029" s="6" t="str">
        <f>IFERROR(__xludf.DUMMYFUNCTION("""COMPUTED_VALUE"""),"Muhammad Fajrul Falaah")</f>
        <v>Muhammad Fajrul Falaah</v>
      </c>
      <c r="L1029" s="6"/>
      <c r="M1029" s="6"/>
      <c r="N1029" s="6"/>
      <c r="O1029" s="6"/>
      <c r="P1029" s="10"/>
      <c r="Q1029" s="11" t="str">
        <f>IFERROR(__xludf.DUMMYFUNCTION("""COMPUTED_VALUE"""),"https://www.jurnalintelektiva.com/index.php/jurnal/article/view/1167")</f>
        <v>https://www.jurnalintelektiva.com/index.php/jurnal/article/view/1167</v>
      </c>
      <c r="R1029" s="6"/>
    </row>
    <row r="1030">
      <c r="A1030" s="5">
        <f>IFERROR(__xludf.DUMMYFUNCTION("""COMPUTED_VALUE"""),1029.0)</f>
        <v>1029</v>
      </c>
      <c r="B1030" s="6" t="str">
        <f>IFERROR(__xludf.DUMMYFUNCTION("""COMPUTED_VALUE"""),"PENGENDALIAN PERSEDIAAN BAHAN BAKU KEDELAI GUNA KELANCARAN PROSES PRODUKSI PADA PABRIK TAHU HIKMAH MUDA DI KABUPATEN WONOGIRI")</f>
        <v>PENGENDALIAN PERSEDIAAN BAHAN BAKU KEDELAI GUNA KELANCARAN PROSES PRODUKSI PADA PABRIK TAHU HIKMAH MUDA DI KABUPATEN WONOGIRI</v>
      </c>
      <c r="C1030" s="7">
        <f>IFERROR(__xludf.DUMMYFUNCTION("""COMPUTED_VALUE"""),2025.0)</f>
        <v>2025</v>
      </c>
      <c r="D1030" s="8" t="str">
        <f>IFERROR(__xludf.DUMMYFUNCTION("""COMPUTED_VALUE"""),"2024/2025")</f>
        <v>2024/2025</v>
      </c>
      <c r="E1030" s="9">
        <f>IFERROR(__xludf.DUMMYFUNCTION("""COMPUTED_VALUE"""),45839.0)</f>
        <v>45839</v>
      </c>
      <c r="F1030" s="5" t="str">
        <f>IFERROR(__xludf.DUMMYFUNCTION("""COMPUTED_VALUE"""),"Genap")</f>
        <v>Genap</v>
      </c>
      <c r="G1030" s="5" t="str">
        <f>IFERROR(__xludf.DUMMYFUNCTION("""COMPUTED_VALUE"""),"Manajemen")</f>
        <v>Manajemen</v>
      </c>
      <c r="H1030" s="10" t="str">
        <f>IFERROR(__xludf.DUMMYFUNCTION("""COMPUTED_VALUE"""),"Mahasiswa")</f>
        <v>Mahasiswa</v>
      </c>
      <c r="I1030" s="6" t="str">
        <f>IFERROR(__xludf.DUMMYFUNCTION("""COMPUTED_VALUE"""),"Veranita Widya Pangestika")</f>
        <v>Veranita Widya Pangestika</v>
      </c>
      <c r="J1030" s="6" t="str">
        <f>IFERROR(__xludf.DUMMYFUNCTION("""COMPUTED_VALUE"""),"Christiawan Hendratmoko")</f>
        <v>Christiawan Hendratmoko</v>
      </c>
      <c r="K1030" s="6"/>
      <c r="L1030" s="6"/>
      <c r="M1030" s="6"/>
      <c r="N1030" s="6"/>
      <c r="O1030" s="6"/>
      <c r="P1030" s="10" t="str">
        <f>IFERROR(__xludf.DUMMYFUNCTION("""COMPUTED_VALUE"""),"Veranita Widya Pangestika, Christiawan Hendratmoko")</f>
        <v>Veranita Widya Pangestika, Christiawan Hendratmoko</v>
      </c>
      <c r="Q1030" s="11" t="str">
        <f>IFERROR(__xludf.DUMMYFUNCTION("""COMPUTED_VALUE"""),"https://bajangjournal.com/index.php/Juremi/article/view/10282")</f>
        <v>https://bajangjournal.com/index.php/Juremi/article/view/10282</v>
      </c>
      <c r="R1030" s="6"/>
    </row>
    <row r="1031">
      <c r="A1031" s="5">
        <f>IFERROR(__xludf.DUMMYFUNCTION("""COMPUTED_VALUE"""),1030.0)</f>
        <v>1030</v>
      </c>
      <c r="B1031" s="6" t="str">
        <f>IFERROR(__xludf.DUMMYFUNCTION("""COMPUTED_VALUE"""),"Analisis Penggunaan Tiktok Shop Sebagai Media Pemasaran Digital (Studi Deskriptif Pada Akun TikTok Shop Sepal-Sepil)")</f>
        <v>Analisis Penggunaan Tiktok Shop Sebagai Media Pemasaran Digital (Studi Deskriptif Pada Akun TikTok Shop Sepal-Sepil)</v>
      </c>
      <c r="C1031" s="7">
        <f>IFERROR(__xludf.DUMMYFUNCTION("""COMPUTED_VALUE"""),2025.0)</f>
        <v>2025</v>
      </c>
      <c r="D1031" s="8" t="str">
        <f>IFERROR(__xludf.DUMMYFUNCTION("""COMPUTED_VALUE"""),"2024/2025")</f>
        <v>2024/2025</v>
      </c>
      <c r="E1031" s="9">
        <f>IFERROR(__xludf.DUMMYFUNCTION("""COMPUTED_VALUE"""),45771.0)</f>
        <v>45771</v>
      </c>
      <c r="F1031" s="5" t="str">
        <f>IFERROR(__xludf.DUMMYFUNCTION("""COMPUTED_VALUE"""),"Genap")</f>
        <v>Genap</v>
      </c>
      <c r="G1031" s="5" t="str">
        <f>IFERROR(__xludf.DUMMYFUNCTION("""COMPUTED_VALUE"""),"Manajemen")</f>
        <v>Manajemen</v>
      </c>
      <c r="H1031" s="10" t="str">
        <f>IFERROR(__xludf.DUMMYFUNCTION("""COMPUTED_VALUE"""),"Mahasiswa")</f>
        <v>Mahasiswa</v>
      </c>
      <c r="I1031" s="6" t="str">
        <f>IFERROR(__xludf.DUMMYFUNCTION("""COMPUTED_VALUE"""),"Dian Ayu Setiawardani")</f>
        <v>Dian Ayu Setiawardani</v>
      </c>
      <c r="J1031" s="6"/>
      <c r="K1031" s="6"/>
      <c r="L1031" s="6"/>
      <c r="M1031" s="6"/>
      <c r="N1031" s="6"/>
      <c r="O1031" s="6"/>
      <c r="P1031" s="10" t="str">
        <f>IFERROR(__xludf.DUMMYFUNCTION("""COMPUTED_VALUE"""),"Dian Ayu Setiawardani")</f>
        <v>Dian Ayu Setiawardani</v>
      </c>
      <c r="Q1031" s="11" t="str">
        <f>IFERROR(__xludf.DUMMYFUNCTION("""COMPUTED_VALUE"""),"https://repository.stiesurakarta.ac.id/submission/f4d05f7b-d452-481d-a8c2-1790c8ab37c6")</f>
        <v>https://repository.stiesurakarta.ac.id/submission/f4d05f7b-d452-481d-a8c2-1790c8ab37c6</v>
      </c>
      <c r="R1031" s="6"/>
    </row>
    <row r="1032">
      <c r="A1032" s="5">
        <f>IFERROR(__xludf.DUMMYFUNCTION("""COMPUTED_VALUE"""),1031.0)</f>
        <v>1031</v>
      </c>
      <c r="B1032" s="6" t="str">
        <f>IFERROR(__xludf.DUMMYFUNCTION("""COMPUTED_VALUE"""),"Pengaruh E-WOM dan Online Customer Review terhadap Keputusan Pembelian Produk Erigo di Solo Raya")</f>
        <v>Pengaruh E-WOM dan Online Customer Review terhadap Keputusan Pembelian Produk Erigo di Solo Raya</v>
      </c>
      <c r="C1032" s="7">
        <f>IFERROR(__xludf.DUMMYFUNCTION("""COMPUTED_VALUE"""),2025.0)</f>
        <v>2025</v>
      </c>
      <c r="D1032" s="8" t="str">
        <f>IFERROR(__xludf.DUMMYFUNCTION("""COMPUTED_VALUE"""),"2024/2025")</f>
        <v>2024/2025</v>
      </c>
      <c r="E1032" s="9">
        <f>IFERROR(__xludf.DUMMYFUNCTION("""COMPUTED_VALUE"""),45861.0)</f>
        <v>45861</v>
      </c>
      <c r="F1032" s="5" t="str">
        <f>IFERROR(__xludf.DUMMYFUNCTION("""COMPUTED_VALUE"""),"Genap")</f>
        <v>Genap</v>
      </c>
      <c r="G1032" s="5" t="str">
        <f>IFERROR(__xludf.DUMMYFUNCTION("""COMPUTED_VALUE"""),"Manajemen")</f>
        <v>Manajemen</v>
      </c>
      <c r="H1032" s="10" t="str">
        <f>IFERROR(__xludf.DUMMYFUNCTION("""COMPUTED_VALUE"""),"Mahasiswa")</f>
        <v>Mahasiswa</v>
      </c>
      <c r="I1032" s="6" t="str">
        <f>IFERROR(__xludf.DUMMYFUNCTION("""COMPUTED_VALUE"""),"Hidayat Annor Mansyah")</f>
        <v>Hidayat Annor Mansyah</v>
      </c>
      <c r="J1032" s="6" t="str">
        <f>IFERROR(__xludf.DUMMYFUNCTION("""COMPUTED_VALUE"""),"Muhammad Syihabuddin")</f>
        <v>Muhammad Syihabuddin</v>
      </c>
      <c r="K1032" s="6"/>
      <c r="L1032" s="6"/>
      <c r="M1032" s="6"/>
      <c r="N1032" s="6"/>
      <c r="O1032" s="6"/>
      <c r="P1032" s="10" t="str">
        <f>IFERROR(__xludf.DUMMYFUNCTION("""COMPUTED_VALUE"""),"Hidayat Annor Mansyah, Muhammad Syihabuddin")</f>
        <v>Hidayat Annor Mansyah, Muhammad Syihabuddin</v>
      </c>
      <c r="Q1032" s="11" t="str">
        <f>IFERROR(__xludf.DUMMYFUNCTION("""COMPUTED_VALUE"""),"https://repository.stiesurakarta.ac.id/submission/99b1758a-0109-45e2-931b-452aba8b5615")</f>
        <v>https://repository.stiesurakarta.ac.id/submission/99b1758a-0109-45e2-931b-452aba8b5615</v>
      </c>
      <c r="R1032" s="6"/>
    </row>
    <row r="1033">
      <c r="A1033" s="5">
        <f>IFERROR(__xludf.DUMMYFUNCTION("""COMPUTED_VALUE"""),1032.0)</f>
        <v>1032</v>
      </c>
      <c r="B1033" s="6" t="str">
        <f>IFERROR(__xludf.DUMMYFUNCTION("""COMPUTED_VALUE"""),"Pengaruh Citra Merek dan Kualitas Produk Terhadap Keputusan Pembelian Fashion Thrifting diKalangan Mahasiswa Solo Raya")</f>
        <v>Pengaruh Citra Merek dan Kualitas Produk Terhadap Keputusan Pembelian Fashion Thrifting diKalangan Mahasiswa Solo Raya</v>
      </c>
      <c r="C1033" s="7">
        <f>IFERROR(__xludf.DUMMYFUNCTION("""COMPUTED_VALUE"""),2025.0)</f>
        <v>2025</v>
      </c>
      <c r="D1033" s="8" t="str">
        <f>IFERROR(__xludf.DUMMYFUNCTION("""COMPUTED_VALUE"""),"2024/2025")</f>
        <v>2024/2025</v>
      </c>
      <c r="E1033" s="9">
        <f>IFERROR(__xludf.DUMMYFUNCTION("""COMPUTED_VALUE"""),45882.0)</f>
        <v>45882</v>
      </c>
      <c r="F1033" s="5" t="str">
        <f>IFERROR(__xludf.DUMMYFUNCTION("""COMPUTED_VALUE"""),"Genap")</f>
        <v>Genap</v>
      </c>
      <c r="G1033" s="5" t="str">
        <f>IFERROR(__xludf.DUMMYFUNCTION("""COMPUTED_VALUE"""),"Manajemen")</f>
        <v>Manajemen</v>
      </c>
      <c r="H1033" s="10" t="str">
        <f>IFERROR(__xludf.DUMMYFUNCTION("""COMPUTED_VALUE"""),"Mahasiswa")</f>
        <v>Mahasiswa</v>
      </c>
      <c r="I1033" s="6" t="str">
        <f>IFERROR(__xludf.DUMMYFUNCTION("""COMPUTED_VALUE"""),"Clarista Ayu Indah Sari")</f>
        <v>Clarista Ayu Indah Sari</v>
      </c>
      <c r="J1033" s="6" t="str">
        <f>IFERROR(__xludf.DUMMYFUNCTION("""COMPUTED_VALUE"""),"Muhammad Syihabuddin")</f>
        <v>Muhammad Syihabuddin</v>
      </c>
      <c r="K1033" s="6"/>
      <c r="L1033" s="6"/>
      <c r="M1033" s="6"/>
      <c r="N1033" s="6"/>
      <c r="O1033" s="6"/>
      <c r="P1033" s="10" t="str">
        <f>IFERROR(__xludf.DUMMYFUNCTION("""COMPUTED_VALUE"""),"Clarista Ayu Indah Sari, Muhammad Syihabuddin")</f>
        <v>Clarista Ayu Indah Sari, Muhammad Syihabuddin</v>
      </c>
      <c r="Q1033" s="11" t="str">
        <f>IFERROR(__xludf.DUMMYFUNCTION("""COMPUTED_VALUE"""),"https://repository.stiesurakarta.ac.id/submission/73c0cd9b-db3f-4347-828d-0f66e767801a")</f>
        <v>https://repository.stiesurakarta.ac.id/submission/73c0cd9b-db3f-4347-828d-0f66e767801a</v>
      </c>
      <c r="R1033" s="6"/>
    </row>
    <row r="1034">
      <c r="A1034" s="5">
        <f>IFERROR(__xludf.DUMMYFUNCTION("""COMPUTED_VALUE"""),1033.0)</f>
        <v>1033</v>
      </c>
      <c r="B1034" s="6" t="str">
        <f>IFERROR(__xludf.DUMMYFUNCTION("""COMPUTED_VALUE"""),"Pengaruh Konten Instagram Terhadap Minat Mendaftar Mahasiswa Baru di STIE Surakarta")</f>
        <v>Pengaruh Konten Instagram Terhadap Minat Mendaftar Mahasiswa Baru di STIE Surakarta</v>
      </c>
      <c r="C1034" s="7">
        <f>IFERROR(__xludf.DUMMYFUNCTION("""COMPUTED_VALUE"""),2025.0)</f>
        <v>2025</v>
      </c>
      <c r="D1034" s="8" t="str">
        <f>IFERROR(__xludf.DUMMYFUNCTION("""COMPUTED_VALUE"""),"2024/2025")</f>
        <v>2024/2025</v>
      </c>
      <c r="E1034" s="9">
        <f>IFERROR(__xludf.DUMMYFUNCTION("""COMPUTED_VALUE"""),45861.0)</f>
        <v>45861</v>
      </c>
      <c r="F1034" s="5" t="str">
        <f>IFERROR(__xludf.DUMMYFUNCTION("""COMPUTED_VALUE"""),"Genap")</f>
        <v>Genap</v>
      </c>
      <c r="G1034" s="5" t="str">
        <f>IFERROR(__xludf.DUMMYFUNCTION("""COMPUTED_VALUE"""),"Manajemen")</f>
        <v>Manajemen</v>
      </c>
      <c r="H1034" s="10" t="str">
        <f>IFERROR(__xludf.DUMMYFUNCTION("""COMPUTED_VALUE"""),"Mahasiswa")</f>
        <v>Mahasiswa</v>
      </c>
      <c r="I1034" s="6" t="str">
        <f>IFERROR(__xludf.DUMMYFUNCTION("""COMPUTED_VALUE"""),"Anggraini Kusuma Wardani")</f>
        <v>Anggraini Kusuma Wardani</v>
      </c>
      <c r="J1034" s="6" t="str">
        <f>IFERROR(__xludf.DUMMYFUNCTION("""COMPUTED_VALUE"""),"Aditya Liliyan")</f>
        <v>Aditya Liliyan</v>
      </c>
      <c r="K1034" s="6"/>
      <c r="L1034" s="6"/>
      <c r="M1034" s="6"/>
      <c r="N1034" s="6"/>
      <c r="O1034" s="6"/>
      <c r="P1034" s="10" t="str">
        <f>IFERROR(__xludf.DUMMYFUNCTION("""COMPUTED_VALUE"""),"Anggraini Kusuma Wardani, Aditya Liliyan")</f>
        <v>Anggraini Kusuma Wardani, Aditya Liliyan</v>
      </c>
      <c r="Q1034" s="11" t="str">
        <f>IFERROR(__xludf.DUMMYFUNCTION("""COMPUTED_VALUE"""),"https://repository.stiesurakarta.ac.id/submission/1e651da6-d7c1-45a0-8a34-6b3c1eee4c78")</f>
        <v>https://repository.stiesurakarta.ac.id/submission/1e651da6-d7c1-45a0-8a34-6b3c1eee4c78</v>
      </c>
      <c r="R1034" s="6"/>
    </row>
    <row r="1035">
      <c r="A1035" s="5">
        <f>IFERROR(__xludf.DUMMYFUNCTION("""COMPUTED_VALUE"""),1034.0)</f>
        <v>1034</v>
      </c>
      <c r="B1035" s="6" t="str">
        <f>IFERROR(__xludf.DUMMYFUNCTION("""COMPUTED_VALUE"""),"Pengaruh Gaya Hidup , Harga Produk dan Kualitas Produk Terhadap Keputuaan Pembelian Fashion Melalui Toko Online di Kalangan Mahasiswa di Kota Solo ")</f>
        <v>Pengaruh Gaya Hidup , Harga Produk dan Kualitas Produk Terhadap Keputuaan Pembelian Fashion Melalui Toko Online di Kalangan Mahasiswa di Kota Solo </v>
      </c>
      <c r="C1035" s="7">
        <f>IFERROR(__xludf.DUMMYFUNCTION("""COMPUTED_VALUE"""),2025.0)</f>
        <v>2025</v>
      </c>
      <c r="D1035" s="8" t="str">
        <f>IFERROR(__xludf.DUMMYFUNCTION("""COMPUTED_VALUE"""),"2024/2025")</f>
        <v>2024/2025</v>
      </c>
      <c r="E1035" s="9">
        <f>IFERROR(__xludf.DUMMYFUNCTION("""COMPUTED_VALUE"""),45882.0)</f>
        <v>45882</v>
      </c>
      <c r="F1035" s="5" t="str">
        <f>IFERROR(__xludf.DUMMYFUNCTION("""COMPUTED_VALUE"""),"Genap")</f>
        <v>Genap</v>
      </c>
      <c r="G1035" s="5" t="str">
        <f>IFERROR(__xludf.DUMMYFUNCTION("""COMPUTED_VALUE"""),"Manajemen")</f>
        <v>Manajemen</v>
      </c>
      <c r="H1035" s="10" t="str">
        <f>IFERROR(__xludf.DUMMYFUNCTION("""COMPUTED_VALUE"""),"Mahasiswa")</f>
        <v>Mahasiswa</v>
      </c>
      <c r="I1035" s="6" t="str">
        <f>IFERROR(__xludf.DUMMYFUNCTION("""COMPUTED_VALUE"""),"Dede Sri Amanah")</f>
        <v>Dede Sri Amanah</v>
      </c>
      <c r="J1035" s="6" t="str">
        <f>IFERROR(__xludf.DUMMYFUNCTION("""COMPUTED_VALUE"""),"Muhammad Syihabuddin")</f>
        <v>Muhammad Syihabuddin</v>
      </c>
      <c r="K1035" s="6"/>
      <c r="L1035" s="6"/>
      <c r="M1035" s="6"/>
      <c r="N1035" s="6"/>
      <c r="O1035" s="6"/>
      <c r="P1035" s="10" t="str">
        <f>IFERROR(__xludf.DUMMYFUNCTION("""COMPUTED_VALUE"""),"Desri Sri Amanah, Muhammad Syihabudddin")</f>
        <v>Desri Sri Amanah, Muhammad Syihabudddin</v>
      </c>
      <c r="Q1035" s="11" t="str">
        <f>IFERROR(__xludf.DUMMYFUNCTION("""COMPUTED_VALUE"""),"https://repository.stiesurakarta.ac.id/submission/788a5d00-ba17-4b4a-b97c-71ababc1df3f")</f>
        <v>https://repository.stiesurakarta.ac.id/submission/788a5d00-ba17-4b4a-b97c-71ababc1df3f</v>
      </c>
      <c r="R1035" s="6"/>
    </row>
    <row r="1036">
      <c r="A1036" s="5">
        <f>IFERROR(__xludf.DUMMYFUNCTION("""COMPUTED_VALUE"""),1035.0)</f>
        <v>1035</v>
      </c>
      <c r="B1036" s="6" t="str">
        <f>IFERROR(__xludf.DUMMYFUNCTION("""COMPUTED_VALUE"""),"Evaluasi dan Penerapan Sistem Penggajian Studi Kasus pada CV Makmur Abadi")</f>
        <v>Evaluasi dan Penerapan Sistem Penggajian Studi Kasus pada CV Makmur Abadi</v>
      </c>
      <c r="C1036" s="7">
        <f>IFERROR(__xludf.DUMMYFUNCTION("""COMPUTED_VALUE"""),2024.0)</f>
        <v>2024</v>
      </c>
      <c r="D1036" s="8" t="str">
        <f>IFERROR(__xludf.DUMMYFUNCTION("""COMPUTED_VALUE"""),"2023/2024")</f>
        <v>2023/2024</v>
      </c>
      <c r="E1036" s="9">
        <f>IFERROR(__xludf.DUMMYFUNCTION("""COMPUTED_VALUE"""),45503.0)</f>
        <v>45503</v>
      </c>
      <c r="F1036" s="5" t="str">
        <f>IFERROR(__xludf.DUMMYFUNCTION("""COMPUTED_VALUE"""),"Genap")</f>
        <v>Genap</v>
      </c>
      <c r="G1036" s="5" t="str">
        <f>IFERROR(__xludf.DUMMYFUNCTION("""COMPUTED_VALUE"""),"Akuntansi")</f>
        <v>Akuntansi</v>
      </c>
      <c r="H1036" s="10" t="str">
        <f>IFERROR(__xludf.DUMMYFUNCTION("""COMPUTED_VALUE"""),"Dosen")</f>
        <v>Dosen</v>
      </c>
      <c r="I1036" s="6" t="str">
        <f>IFERROR(__xludf.DUMMYFUNCTION("""COMPUTED_VALUE"""),"Arif Farida")</f>
        <v>Arif Farida</v>
      </c>
      <c r="J1036" s="6" t="str">
        <f>IFERROR(__xludf.DUMMYFUNCTION("""COMPUTED_VALUE"""),"Anita Zulaikhah")</f>
        <v>Anita Zulaikhah</v>
      </c>
      <c r="K1036" s="6"/>
      <c r="L1036" s="6"/>
      <c r="M1036" s="6"/>
      <c r="N1036" s="6"/>
      <c r="O1036" s="6"/>
      <c r="P1036" s="10" t="str">
        <f>IFERROR(__xludf.DUMMYFUNCTION("""COMPUTED_VALUE"""),"Arif Farida, Anita Zulaikhah")</f>
        <v>Arif Farida, Anita Zulaikhah</v>
      </c>
      <c r="Q1036" s="11" t="str">
        <f>IFERROR(__xludf.DUMMYFUNCTION("""COMPUTED_VALUE"""),"https://ejournal.utp.ac.id/index.php/TM/article/view/3880")</f>
        <v>https://ejournal.utp.ac.id/index.php/TM/article/view/3880</v>
      </c>
      <c r="R1036" s="6"/>
    </row>
    <row r="1037">
      <c r="A1037" s="5">
        <f>IFERROR(__xludf.DUMMYFUNCTION("""COMPUTED_VALUE"""),1036.0)</f>
        <v>1036</v>
      </c>
      <c r="B1037" s="6" t="str">
        <f>IFERROR(__xludf.DUMMYFUNCTION("""COMPUTED_VALUE"""),"Optimalisasi Instagram sebagai Strategi Pemasaran Digital untuk UMKM Kepepes")</f>
        <v>Optimalisasi Instagram sebagai Strategi Pemasaran Digital untuk UMKM Kepepes</v>
      </c>
      <c r="C1037" s="7">
        <f>IFERROR(__xludf.DUMMYFUNCTION("""COMPUTED_VALUE"""),2025.0)</f>
        <v>2025</v>
      </c>
      <c r="D1037" s="8" t="str">
        <f>IFERROR(__xludf.DUMMYFUNCTION("""COMPUTED_VALUE"""),"2024/2025")</f>
        <v>2024/2025</v>
      </c>
      <c r="E1037" s="9">
        <f>IFERROR(__xludf.DUMMYFUNCTION("""COMPUTED_VALUE"""),45834.0)</f>
        <v>45834</v>
      </c>
      <c r="F1037" s="5" t="str">
        <f>IFERROR(__xludf.DUMMYFUNCTION("""COMPUTED_VALUE"""),"Genap")</f>
        <v>Genap</v>
      </c>
      <c r="G1037" s="5" t="str">
        <f>IFERROR(__xludf.DUMMYFUNCTION("""COMPUTED_VALUE"""),"Manajemen")</f>
        <v>Manajemen</v>
      </c>
      <c r="H1037" s="10" t="str">
        <f>IFERROR(__xludf.DUMMYFUNCTION("""COMPUTED_VALUE"""),"Dosen")</f>
        <v>Dosen</v>
      </c>
      <c r="I1037" s="6" t="str">
        <f>IFERROR(__xludf.DUMMYFUNCTION("""COMPUTED_VALUE"""),"Andhi Febisatria")</f>
        <v>Andhi Febisatria</v>
      </c>
      <c r="J1037" s="6" t="str">
        <f>IFERROR(__xludf.DUMMYFUNCTION("""COMPUTED_VALUE"""),"Ainin Syukuria Putri")</f>
        <v>Ainin Syukuria Putri</v>
      </c>
      <c r="K1037" s="6" t="str">
        <f>IFERROR(__xludf.DUMMYFUNCTION("""COMPUTED_VALUE"""),"Yonatan Alvin Stefan")</f>
        <v>Yonatan Alvin Stefan</v>
      </c>
      <c r="L1037" s="6"/>
      <c r="M1037" s="6"/>
      <c r="N1037" s="6"/>
      <c r="O1037" s="6"/>
      <c r="P1037" s="10" t="str">
        <f>IFERROR(__xludf.DUMMYFUNCTION("""COMPUTED_VALUE"""),"Andhi Febisatria, Ainin Syukuria Putri, Yonatan Alvin Stefan")</f>
        <v>Andhi Febisatria, Ainin Syukuria Putri, Yonatan Alvin Stefan</v>
      </c>
      <c r="Q1037" s="11" t="str">
        <f>IFERROR(__xludf.DUMMYFUNCTION("""COMPUTED_VALUE"""),"https://jurnalpengabdian.stiesurakarta.ac.id/index.php/Dms/article/view/164")</f>
        <v>https://jurnalpengabdian.stiesurakarta.ac.id/index.php/Dms/article/view/164</v>
      </c>
      <c r="R1037" s="6"/>
    </row>
    <row r="1038">
      <c r="A1038" s="5">
        <f>IFERROR(__xludf.DUMMYFUNCTION("""COMPUTED_VALUE"""),1037.0)</f>
        <v>1037</v>
      </c>
      <c r="B1038" s="6" t="str">
        <f>IFERROR(__xludf.DUMMYFUNCTION("""COMPUTED_VALUE"""),"Menjadi Tim Expert dalam bidang Creative Design &amp; Social Media Manager Yayasan Gondrong Gunarto Gamelan Ensemble
")</f>
        <v>Menjadi Tim Expert dalam bidang Creative Design &amp; Social Media Manager Yayasan Gondrong Gunarto Gamelan Ensemble
</v>
      </c>
      <c r="C1038" s="5"/>
      <c r="D1038" s="5"/>
      <c r="E1038" s="9"/>
      <c r="F1038" s="5"/>
      <c r="G1038" s="5" t="str">
        <f>IFERROR(__xludf.DUMMYFUNCTION("""COMPUTED_VALUE"""),"Manajemen")</f>
        <v>Manajemen</v>
      </c>
      <c r="H1038" s="10" t="str">
        <f>IFERROR(__xludf.DUMMYFUNCTION("""COMPUTED_VALUE"""),"Dosen")</f>
        <v>Dosen</v>
      </c>
      <c r="I1038" s="6" t="str">
        <f>IFERROR(__xludf.DUMMYFUNCTION("""COMPUTED_VALUE"""),"Satria Veriansyah Wiguna")</f>
        <v>Satria Veriansyah Wiguna</v>
      </c>
      <c r="J1038" s="6"/>
      <c r="K1038" s="6"/>
      <c r="L1038" s="6"/>
      <c r="M1038" s="6"/>
      <c r="N1038" s="6"/>
      <c r="O1038" s="6"/>
      <c r="P1038" s="10"/>
      <c r="Q1038" s="6"/>
      <c r="R1038" s="6"/>
    </row>
    <row r="1039">
      <c r="A1039" s="5">
        <f>IFERROR(__xludf.DUMMYFUNCTION("""COMPUTED_VALUE"""),1038.0)</f>
        <v>1038</v>
      </c>
      <c r="B1039" s="6" t="str">
        <f>IFERROR(__xludf.DUMMYFUNCTION("""COMPUTED_VALUE"""),"Menumbuhkan jiwa wirausahaâ€œEntreprenuership Program Dengan  Memulai Bisnis Modal Kecilâ€�
")</f>
        <v>Menumbuhkan jiwa wirausahaâ€œEntreprenuership Program Dengan  Memulai Bisnis Modal Kecilâ€�
</v>
      </c>
      <c r="C1039" s="5"/>
      <c r="D1039" s="5"/>
      <c r="E1039" s="9"/>
      <c r="F1039" s="5"/>
      <c r="G1039" s="5" t="str">
        <f>IFERROR(__xludf.DUMMYFUNCTION("""COMPUTED_VALUE"""),"Manajemen")</f>
        <v>Manajemen</v>
      </c>
      <c r="H1039" s="10" t="str">
        <f>IFERROR(__xludf.DUMMYFUNCTION("""COMPUTED_VALUE"""),"Dosen")</f>
        <v>Dosen</v>
      </c>
      <c r="I1039" s="6" t="str">
        <f>IFERROR(__xludf.DUMMYFUNCTION("""COMPUTED_VALUE"""),"Muhammad Jalari")</f>
        <v>Muhammad Jalari</v>
      </c>
      <c r="J1039" s="6" t="str">
        <f>IFERROR(__xludf.DUMMYFUNCTION("""COMPUTED_VALUE"""),"Arif Nugroho Rachman")</f>
        <v>Arif Nugroho Rachman</v>
      </c>
      <c r="K1039" s="6"/>
      <c r="L1039" s="6"/>
      <c r="M1039" s="6"/>
      <c r="N1039" s="6"/>
      <c r="O1039" s="6"/>
      <c r="P1039" s="10"/>
      <c r="Q1039" s="6"/>
      <c r="R1039" s="6"/>
    </row>
    <row r="1040">
      <c r="A1040" s="5">
        <f>IFERROR(__xludf.DUMMYFUNCTION("""COMPUTED_VALUE"""),1039.0)</f>
        <v>1039</v>
      </c>
      <c r="B1040" s="6" t="str">
        <f>IFERROR(__xludf.DUMMYFUNCTION("""COMPUTED_VALUE"""),"The Impact of Digital Transformation on Corporate  Competitiveness in Indonesia's Creative Economy Sector
")</f>
        <v>The Impact of Digital Transformation on Corporate  Competitiveness in Indonesia's Creative Economy Sector
</v>
      </c>
      <c r="C1040" s="7">
        <f>IFERROR(__xludf.DUMMYFUNCTION("""COMPUTED_VALUE"""),2025.0)</f>
        <v>2025</v>
      </c>
      <c r="D1040" s="8" t="str">
        <f>IFERROR(__xludf.DUMMYFUNCTION("""COMPUTED_VALUE"""),"2024/2025")</f>
        <v>2024/2025</v>
      </c>
      <c r="E1040" s="9">
        <f>IFERROR(__xludf.DUMMYFUNCTION("""COMPUTED_VALUE"""),45787.0)</f>
        <v>45787</v>
      </c>
      <c r="F1040" s="5" t="str">
        <f>IFERROR(__xludf.DUMMYFUNCTION("""COMPUTED_VALUE"""),"Genap")</f>
        <v>Genap</v>
      </c>
      <c r="G1040" s="5" t="str">
        <f>IFERROR(__xludf.DUMMYFUNCTION("""COMPUTED_VALUE"""),"Akuntansi")</f>
        <v>Akuntansi</v>
      </c>
      <c r="H1040" s="10" t="str">
        <f>IFERROR(__xludf.DUMMYFUNCTION("""COMPUTED_VALUE"""),"Dosen")</f>
        <v>Dosen</v>
      </c>
      <c r="I1040" s="6" t="str">
        <f>IFERROR(__xludf.DUMMYFUNCTION("""COMPUTED_VALUE"""),"Heny Kurnianingsih")</f>
        <v>Heny Kurnianingsih</v>
      </c>
      <c r="J1040" s="6"/>
      <c r="K1040" s="6"/>
      <c r="L1040" s="6"/>
      <c r="M1040" s="6"/>
      <c r="N1040" s="6"/>
      <c r="O1040" s="6"/>
      <c r="P1040" s="10" t="str">
        <f>IFERROR(__xludf.DUMMYFUNCTION("""COMPUTED_VALUE"""),"Heny Kurnianingsih")</f>
        <v>Heny Kurnianingsih</v>
      </c>
      <c r="Q1040" s="11" t="str">
        <f>IFERROR(__xludf.DUMMYFUNCTION("""COMPUTED_VALUE"""),"https://americanjournal.us/index.php/american/article/view/91")</f>
        <v>https://americanjournal.us/index.php/american/article/view/91</v>
      </c>
      <c r="R1040" s="11" t="str">
        <f>IFERROR(__xludf.DUMMYFUNCTION("""COMPUTED_VALUE"""),"https://www.researchgate.net/publication/391780427_The_Impact_of_Digital_Transformation_on_Corporate_Competitiveness_in_Indonesia's_Creative_Economy_Sector")</f>
        <v>https://www.researchgate.net/publication/391780427_The_Impact_of_Digital_Transformation_on_Corporate_Competitiveness_in_Indonesia's_Creative_Economy_Sector</v>
      </c>
    </row>
    <row r="1041">
      <c r="A1041" s="5">
        <f>IFERROR(__xludf.DUMMYFUNCTION("""COMPUTED_VALUE"""),1040.0)</f>
        <v>1040</v>
      </c>
      <c r="B1041" s="6" t="str">
        <f>IFERROR(__xludf.DUMMYFUNCTION("""COMPUTED_VALUE"""),"Pengaruh Kualitas Penyiar, Kualitas Siaran, Relationship Marketing dan Word of Mouth Terhadap Loyalitas Pendengar")</f>
        <v>Pengaruh Kualitas Penyiar, Kualitas Siaran, Relationship Marketing dan Word of Mouth Terhadap Loyalitas Pendengar</v>
      </c>
      <c r="C1041" s="7">
        <f>IFERROR(__xludf.DUMMYFUNCTION("""COMPUTED_VALUE"""),2025.0)</f>
        <v>2025</v>
      </c>
      <c r="D1041" s="8" t="str">
        <f>IFERROR(__xludf.DUMMYFUNCTION("""COMPUTED_VALUE"""),"2024/2025")</f>
        <v>2024/2025</v>
      </c>
      <c r="E1041" s="9">
        <f>IFERROR(__xludf.DUMMYFUNCTION("""COMPUTED_VALUE"""),45883.0)</f>
        <v>45883</v>
      </c>
      <c r="F1041" s="5" t="str">
        <f>IFERROR(__xludf.DUMMYFUNCTION("""COMPUTED_VALUE"""),"Genap")</f>
        <v>Genap</v>
      </c>
      <c r="G1041" s="5" t="str">
        <f>IFERROR(__xludf.DUMMYFUNCTION("""COMPUTED_VALUE"""),"Manajemen")</f>
        <v>Manajemen</v>
      </c>
      <c r="H1041" s="10" t="str">
        <f>IFERROR(__xludf.DUMMYFUNCTION("""COMPUTED_VALUE"""),"Dosen")</f>
        <v>Dosen</v>
      </c>
      <c r="I1041" s="6" t="str">
        <f>IFERROR(__xludf.DUMMYFUNCTION("""COMPUTED_VALUE"""),"Andri Nurtantiono")</f>
        <v>Andri Nurtantiono</v>
      </c>
      <c r="J1041" s="6" t="str">
        <f>IFERROR(__xludf.DUMMYFUNCTION("""COMPUTED_VALUE"""),"Heny Kurnianingsih")</f>
        <v>Heny Kurnianingsih</v>
      </c>
      <c r="K1041" s="6" t="str">
        <f>IFERROR(__xludf.DUMMYFUNCTION("""COMPUTED_VALUE"""),"Christiawan Hendratmoko")</f>
        <v>Christiawan Hendratmoko</v>
      </c>
      <c r="L1041" s="6"/>
      <c r="M1041" s="6"/>
      <c r="N1041" s="6"/>
      <c r="O1041" s="6"/>
      <c r="P1041" s="10" t="str">
        <f>IFERROR(__xludf.DUMMYFUNCTION("""COMPUTED_VALUE"""),"Andri Nurtantiono, Heny Kurnianingsih, Christiawan Hendratmoko")</f>
        <v>Andri Nurtantiono, Heny Kurnianingsih, Christiawan Hendratmoko</v>
      </c>
      <c r="Q1041" s="11" t="str">
        <f>IFERROR(__xludf.DUMMYFUNCTION("""COMPUTED_VALUE"""),"https://jurnal.stie-aas.ac.id/index.php/jie/article/view/17626")</f>
        <v>https://jurnal.stie-aas.ac.id/index.php/jie/article/view/17626</v>
      </c>
      <c r="R1041" s="6"/>
    </row>
    <row r="1042">
      <c r="A1042" s="5">
        <f>IFERROR(__xludf.DUMMYFUNCTION("""COMPUTED_VALUE"""),1041.0)</f>
        <v>1041</v>
      </c>
      <c r="B1042" s="6" t="str">
        <f>IFERROR(__xludf.DUMMYFUNCTION("""COMPUTED_VALUE"""),"The Power Of Peer Voice: Evaluating The Effectiveness Of User-Generated Content In Shaping Gen Z’s Purchase Intentions")</f>
        <v>The Power Of Peer Voice: Evaluating The Effectiveness Of User-Generated Content In Shaping Gen Z’s Purchase Intentions</v>
      </c>
      <c r="C1042" s="7">
        <f>IFERROR(__xludf.DUMMYFUNCTION("""COMPUTED_VALUE"""),2025.0)</f>
        <v>2025</v>
      </c>
      <c r="D1042" s="8" t="str">
        <f>IFERROR(__xludf.DUMMYFUNCTION("""COMPUTED_VALUE"""),"2024/2025")</f>
        <v>2024/2025</v>
      </c>
      <c r="E1042" s="9">
        <f>IFERROR(__xludf.DUMMYFUNCTION("""COMPUTED_VALUE"""),45882.0)</f>
        <v>45882</v>
      </c>
      <c r="F1042" s="5" t="str">
        <f>IFERROR(__xludf.DUMMYFUNCTION("""COMPUTED_VALUE"""),"Genap")</f>
        <v>Genap</v>
      </c>
      <c r="G1042" s="5" t="str">
        <f>IFERROR(__xludf.DUMMYFUNCTION("""COMPUTED_VALUE"""),"Manajemen")</f>
        <v>Manajemen</v>
      </c>
      <c r="H1042" s="10" t="str">
        <f>IFERROR(__xludf.DUMMYFUNCTION("""COMPUTED_VALUE"""),"Dosen")</f>
        <v>Dosen</v>
      </c>
      <c r="I1042" s="6" t="str">
        <f>IFERROR(__xludf.DUMMYFUNCTION("""COMPUTED_VALUE"""),"Muhammad Syihabuddin")</f>
        <v>Muhammad Syihabuddin</v>
      </c>
      <c r="J1042" s="6" t="str">
        <f>IFERROR(__xludf.DUMMYFUNCTION("""COMPUTED_VALUE"""),"Syifa Yuliati Umroh")</f>
        <v>Syifa Yuliati Umroh</v>
      </c>
      <c r="K1042" s="6"/>
      <c r="L1042" s="6"/>
      <c r="M1042" s="6"/>
      <c r="N1042" s="6"/>
      <c r="O1042" s="6"/>
      <c r="P1042" s="10" t="str">
        <f>IFERROR(__xludf.DUMMYFUNCTION("""COMPUTED_VALUE"""),"Muhammad Syihabuddin, Syifa Yuliati Umroh")</f>
        <v>Muhammad Syihabuddin, Syifa Yuliati Umroh</v>
      </c>
      <c r="Q1042" s="11" t="str">
        <f>IFERROR(__xludf.DUMMYFUNCTION("""COMPUTED_VALUE"""),"https://iccms.ifrel.org/index.php/ICCMS/article/view/141")</f>
        <v>https://iccms.ifrel.org/index.php/ICCMS/article/view/141</v>
      </c>
      <c r="R1042" s="6"/>
    </row>
    <row r="1043">
      <c r="A1043" s="5">
        <f>IFERROR(__xludf.DUMMYFUNCTION("""COMPUTED_VALUE"""),1042.0)</f>
        <v>1042</v>
      </c>
      <c r="B1043" s="6" t="str">
        <f>IFERROR(__xludf.DUMMYFUNCTION("""COMPUTED_VALUE"""),"Pelatihan Strategi Marketing Gerilya untuk Meningkatkan Daya Saing Mahasiswa dan UMKM Wilayah Solo Raya dan Sekitarnya
")</f>
        <v>Pelatihan Strategi Marketing Gerilya untuk Meningkatkan Daya Saing Mahasiswa dan UMKM Wilayah Solo Raya dan Sekitarnya
</v>
      </c>
      <c r="C1043" s="7">
        <f>IFERROR(__xludf.DUMMYFUNCTION("""COMPUTED_VALUE"""),2025.0)</f>
        <v>2025</v>
      </c>
      <c r="D1043" s="8" t="str">
        <f>IFERROR(__xludf.DUMMYFUNCTION("""COMPUTED_VALUE"""),"2024/2025")</f>
        <v>2024/2025</v>
      </c>
      <c r="E1043" s="9">
        <f>IFERROR(__xludf.DUMMYFUNCTION("""COMPUTED_VALUE"""),45896.0)</f>
        <v>45896</v>
      </c>
      <c r="F1043" s="5" t="str">
        <f>IFERROR(__xludf.DUMMYFUNCTION("""COMPUTED_VALUE"""),"Genap")</f>
        <v>Genap</v>
      </c>
      <c r="G1043" s="5" t="str">
        <f>IFERROR(__xludf.DUMMYFUNCTION("""COMPUTED_VALUE"""),"Manajemen")</f>
        <v>Manajemen</v>
      </c>
      <c r="H1043" s="10" t="str">
        <f>IFERROR(__xludf.DUMMYFUNCTION("""COMPUTED_VALUE"""),"Dosen")</f>
        <v>Dosen</v>
      </c>
      <c r="I1043" s="6" t="str">
        <f>IFERROR(__xludf.DUMMYFUNCTION("""COMPUTED_VALUE"""),"Ginanjar Rahmawan")</f>
        <v>Ginanjar Rahmawan</v>
      </c>
      <c r="J1043" s="6" t="str">
        <f>IFERROR(__xludf.DUMMYFUNCTION("""COMPUTED_VALUE"""),"Indra Iryanto Nur Hidayat")</f>
        <v>Indra Iryanto Nur Hidayat</v>
      </c>
      <c r="K1043" s="6"/>
      <c r="L1043" s="6"/>
      <c r="M1043" s="6"/>
      <c r="N1043" s="6"/>
      <c r="O1043" s="6"/>
      <c r="P1043" s="10" t="str">
        <f>IFERROR(__xludf.DUMMYFUNCTION("""COMPUTED_VALUE"""),"Ginanjar Rahmawan, Indra Iryanto Nur Hidayat")</f>
        <v>Ginanjar Rahmawan, Indra Iryanto Nur Hidayat</v>
      </c>
      <c r="Q1043" s="11" t="str">
        <f>IFERROR(__xludf.DUMMYFUNCTION("""COMPUTED_VALUE"""),"https://wnj.westsciences.com/index.php/jpws/article/view/2504")</f>
        <v>https://wnj.westsciences.com/index.php/jpws/article/view/2504</v>
      </c>
      <c r="R1043" s="6"/>
    </row>
    <row r="1044">
      <c r="A1044" s="5">
        <f>IFERROR(__xludf.DUMMYFUNCTION("""COMPUTED_VALUE"""),1043.0)</f>
        <v>1043</v>
      </c>
      <c r="B1044" s="6" t="str">
        <f>IFERROR(__xludf.DUMMYFUNCTION("""COMPUTED_VALUE"""),"The Effect of Customer Experience, Service Quality, and Brand Engagement on Brand Perception in the Multimedia Industry: A Case Study of SON Videoworks")</f>
        <v>The Effect of Customer Experience, Service Quality, and Brand Engagement on Brand Perception in the Multimedia Industry: A Case Study of SON Videoworks</v>
      </c>
      <c r="C1044" s="7">
        <f>IFERROR(__xludf.DUMMYFUNCTION("""COMPUTED_VALUE"""),2025.0)</f>
        <v>2025</v>
      </c>
      <c r="D1044" s="8" t="str">
        <f>IFERROR(__xludf.DUMMYFUNCTION("""COMPUTED_VALUE"""),"2024/2025")</f>
        <v>2024/2025</v>
      </c>
      <c r="E1044" s="9">
        <f>IFERROR(__xludf.DUMMYFUNCTION("""COMPUTED_VALUE"""),45869.0)</f>
        <v>45869</v>
      </c>
      <c r="F1044" s="5" t="str">
        <f>IFERROR(__xludf.DUMMYFUNCTION("""COMPUTED_VALUE"""),"Genap")</f>
        <v>Genap</v>
      </c>
      <c r="G1044" s="5" t="str">
        <f>IFERROR(__xludf.DUMMYFUNCTION("""COMPUTED_VALUE"""),"Manajemen")</f>
        <v>Manajemen</v>
      </c>
      <c r="H1044" s="10" t="str">
        <f>IFERROR(__xludf.DUMMYFUNCTION("""COMPUTED_VALUE"""),"Dosen")</f>
        <v>Dosen</v>
      </c>
      <c r="I1044" s="6" t="str">
        <f>IFERROR(__xludf.DUMMYFUNCTION("""COMPUTED_VALUE"""),"Satria Veriansyah Wiguna")</f>
        <v>Satria Veriansyah Wiguna</v>
      </c>
      <c r="J1044" s="6" t="str">
        <f>IFERROR(__xludf.DUMMYFUNCTION("""COMPUTED_VALUE"""),"Putri Dini Octavia Ardiansyah")</f>
        <v>Putri Dini Octavia Ardiansyah</v>
      </c>
      <c r="K1044" s="6"/>
      <c r="L1044" s="6"/>
      <c r="M1044" s="6"/>
      <c r="N1044" s="6"/>
      <c r="O1044" s="6"/>
      <c r="P1044" s="10" t="str">
        <f>IFERROR(__xludf.DUMMYFUNCTION("""COMPUTED_VALUE"""),"Satria Veriansyah Wiguna, Putri Dini Octavia Ardiansyah")</f>
        <v>Satria Veriansyah Wiguna, Putri Dini Octavia Ardiansyah</v>
      </c>
      <c r="Q1044" s="11" t="str">
        <f>IFERROR(__xludf.DUMMYFUNCTION("""COMPUTED_VALUE"""),"https://journals.researchsynergypress.com/index.php/ijebce/article/view/3353")</f>
        <v>https://journals.researchsynergypress.com/index.php/ijebce/article/view/3353</v>
      </c>
      <c r="R1044" s="6"/>
    </row>
    <row r="1045">
      <c r="A1045" s="5">
        <f>IFERROR(__xludf.DUMMYFUNCTION("""COMPUTED_VALUE"""),1044.0)</f>
        <v>1044</v>
      </c>
      <c r="B1045" s="6" t="str">
        <f>IFERROR(__xludf.DUMMYFUNCTION("""COMPUTED_VALUE"""),"Pengaruh Penggunaan AI dalam Efisiensi Pengambilan Keputusan Manajemen")</f>
        <v>Pengaruh Penggunaan AI dalam Efisiensi Pengambilan Keputusan Manajemen</v>
      </c>
      <c r="C1045" s="7">
        <f>IFERROR(__xludf.DUMMYFUNCTION("""COMPUTED_VALUE"""),2025.0)</f>
        <v>2025</v>
      </c>
      <c r="D1045" s="8" t="str">
        <f>IFERROR(__xludf.DUMMYFUNCTION("""COMPUTED_VALUE"""),"2024/2025")</f>
        <v>2024/2025</v>
      </c>
      <c r="E1045" s="9">
        <f>IFERROR(__xludf.DUMMYFUNCTION("""COMPUTED_VALUE"""),45858.0)</f>
        <v>45858</v>
      </c>
      <c r="F1045" s="5" t="str">
        <f>IFERROR(__xludf.DUMMYFUNCTION("""COMPUTED_VALUE"""),"Genap")</f>
        <v>Genap</v>
      </c>
      <c r="G1045" s="5" t="str">
        <f>IFERROR(__xludf.DUMMYFUNCTION("""COMPUTED_VALUE"""),"Akuntansi")</f>
        <v>Akuntansi</v>
      </c>
      <c r="H1045" s="10" t="str">
        <f>IFERROR(__xludf.DUMMYFUNCTION("""COMPUTED_VALUE"""),"Dosen")</f>
        <v>Dosen</v>
      </c>
      <c r="I1045" s="6" t="str">
        <f>IFERROR(__xludf.DUMMYFUNCTION("""COMPUTED_VALUE"""),"Dika Puspitaningrum")</f>
        <v>Dika Puspitaningrum</v>
      </c>
      <c r="J1045" s="6"/>
      <c r="K1045" s="6"/>
      <c r="L1045" s="6"/>
      <c r="M1045" s="6"/>
      <c r="N1045" s="6"/>
      <c r="O1045" s="6"/>
      <c r="P1045" s="10" t="str">
        <f>IFERROR(__xludf.DUMMYFUNCTION("""COMPUTED_VALUE"""),"Dika Puspitaningrum")</f>
        <v>Dika Puspitaningrum</v>
      </c>
      <c r="Q1045" s="11" t="str">
        <f>IFERROR(__xludf.DUMMYFUNCTION("""COMPUTED_VALUE"""),"https://journals.unihaz.ac.id/index.php/jaz/article/view/5153")</f>
        <v>https://journals.unihaz.ac.id/index.php/jaz/article/view/5153</v>
      </c>
      <c r="R1045" s="6"/>
    </row>
    <row r="1046">
      <c r="A1046" s="5">
        <f>IFERROR(__xludf.DUMMYFUNCTION("""COMPUTED_VALUE"""),1045.0)</f>
        <v>1045</v>
      </c>
      <c r="B1046" s="6" t="str">
        <f>IFERROR(__xludf.DUMMYFUNCTION("""COMPUTED_VALUE"""),"Evaluasi Faktor-Faktor yang Berkontribusi dalam Perencanaan Keuangan Mahasiswa STIE Surakarta")</f>
        <v>Evaluasi Faktor-Faktor yang Berkontribusi dalam Perencanaan Keuangan Mahasiswa STIE Surakarta</v>
      </c>
      <c r="C1046" s="7">
        <f>IFERROR(__xludf.DUMMYFUNCTION("""COMPUTED_VALUE"""),2025.0)</f>
        <v>2025</v>
      </c>
      <c r="D1046" s="8" t="str">
        <f>IFERROR(__xludf.DUMMYFUNCTION("""COMPUTED_VALUE"""),"2024/2025")</f>
        <v>2024/2025</v>
      </c>
      <c r="E1046" s="9">
        <f>IFERROR(__xludf.DUMMYFUNCTION("""COMPUTED_VALUE"""),45838.0)</f>
        <v>45838</v>
      </c>
      <c r="F1046" s="5" t="str">
        <f>IFERROR(__xludf.DUMMYFUNCTION("""COMPUTED_VALUE"""),"Genap")</f>
        <v>Genap</v>
      </c>
      <c r="G1046" s="5" t="str">
        <f>IFERROR(__xludf.DUMMYFUNCTION("""COMPUTED_VALUE"""),"Akuntansi")</f>
        <v>Akuntansi</v>
      </c>
      <c r="H1046" s="10" t="str">
        <f>IFERROR(__xludf.DUMMYFUNCTION("""COMPUTED_VALUE"""),"Dosen")</f>
        <v>Dosen</v>
      </c>
      <c r="I1046" s="6" t="str">
        <f>IFERROR(__xludf.DUMMYFUNCTION("""COMPUTED_VALUE"""),"Era Trianita Saputra")</f>
        <v>Era Trianita Saputra</v>
      </c>
      <c r="J1046" s="6" t="str">
        <f>IFERROR(__xludf.DUMMYFUNCTION("""COMPUTED_VALUE"""),"Astuning Saharsini")</f>
        <v>Astuning Saharsini</v>
      </c>
      <c r="K1046" s="6" t="str">
        <f>IFERROR(__xludf.DUMMYFUNCTION("""COMPUTED_VALUE"""),"Dewi Ika Octavia")</f>
        <v>Dewi Ika Octavia</v>
      </c>
      <c r="L1046" s="6" t="str">
        <f>IFERROR(__xludf.DUMMYFUNCTION("""COMPUTED_VALUE"""),"Ari Susanti")</f>
        <v>Ari Susanti</v>
      </c>
      <c r="M1046" s="6"/>
      <c r="N1046" s="6"/>
      <c r="O1046" s="6"/>
      <c r="P1046" s="10" t="str">
        <f>IFERROR(__xludf.DUMMYFUNCTION("""COMPUTED_VALUE"""),"Era Trianita Saputra, Astuning Saharsini, Dewi Ika Octavia, Ari Susanti")</f>
        <v>Era Trianita Saputra, Astuning Saharsini, Dewi Ika Octavia, Ari Susanti</v>
      </c>
      <c r="Q1046" s="11" t="str">
        <f>IFERROR(__xludf.DUMMYFUNCTION("""COMPUTED_VALUE"""),"https://jurnalfe.ustjogja.ac.id/index.php/akuntansi/article/view/4565")</f>
        <v>https://jurnalfe.ustjogja.ac.id/index.php/akuntansi/article/view/4565</v>
      </c>
      <c r="R1046" s="6"/>
    </row>
    <row r="1047">
      <c r="A1047" s="5">
        <f>IFERROR(__xludf.DUMMYFUNCTION("""COMPUTED_VALUE"""),1046.0)</f>
        <v>1046</v>
      </c>
      <c r="B1047" s="6" t="str">
        <f>IFERROR(__xludf.DUMMYFUNCTION("""COMPUTED_VALUE"""),"Pendampingan Penentuan Biaya Tetap Dan Biaya Variabel Dalam Proses Penentuan Hpp Pada Umkm Snack Bapak Joko Kartasura Jawa Tengah")</f>
        <v>Pendampingan Penentuan Biaya Tetap Dan Biaya Variabel Dalam Proses Penentuan Hpp Pada Umkm Snack Bapak Joko Kartasura Jawa Tengah</v>
      </c>
      <c r="C1047" s="7">
        <f>IFERROR(__xludf.DUMMYFUNCTION("""COMPUTED_VALUE"""),2025.0)</f>
        <v>2025</v>
      </c>
      <c r="D1047" s="8" t="str">
        <f>IFERROR(__xludf.DUMMYFUNCTION("""COMPUTED_VALUE"""),"2024/2025")</f>
        <v>2024/2025</v>
      </c>
      <c r="E1047" s="9">
        <f>IFERROR(__xludf.DUMMYFUNCTION("""COMPUTED_VALUE"""),45820.0)</f>
        <v>45820</v>
      </c>
      <c r="F1047" s="5" t="str">
        <f>IFERROR(__xludf.DUMMYFUNCTION("""COMPUTED_VALUE"""),"Genap")</f>
        <v>Genap</v>
      </c>
      <c r="G1047" s="5" t="str">
        <f>IFERROR(__xludf.DUMMYFUNCTION("""COMPUTED_VALUE"""),"Akuntansi")</f>
        <v>Akuntansi</v>
      </c>
      <c r="H1047" s="10" t="str">
        <f>IFERROR(__xludf.DUMMYFUNCTION("""COMPUTED_VALUE"""),"Dosen")</f>
        <v>Dosen</v>
      </c>
      <c r="I1047" s="6" t="str">
        <f>IFERROR(__xludf.DUMMYFUNCTION("""COMPUTED_VALUE"""),"Ari Susanti")</f>
        <v>Ari Susanti</v>
      </c>
      <c r="J1047" s="6" t="str">
        <f>IFERROR(__xludf.DUMMYFUNCTION("""COMPUTED_VALUE"""),"Astuning Saharsini")</f>
        <v>Astuning Saharsini</v>
      </c>
      <c r="K1047" s="6" t="str">
        <f>IFERROR(__xludf.DUMMYFUNCTION("""COMPUTED_VALUE"""),"Era Trianita Saputra")</f>
        <v>Era Trianita Saputra</v>
      </c>
      <c r="L1047" s="6" t="str">
        <f>IFERROR(__xludf.DUMMYFUNCTION("""COMPUTED_VALUE"""),"Dewi Ika Oktavia")</f>
        <v>Dewi Ika Oktavia</v>
      </c>
      <c r="M1047" s="6" t="str">
        <f>IFERROR(__xludf.DUMMYFUNCTION("""COMPUTED_VALUE"""),"Budi Istiyanto")</f>
        <v>Budi Istiyanto</v>
      </c>
      <c r="N1047" s="6" t="str">
        <f>IFERROR(__xludf.DUMMYFUNCTION("""COMPUTED_VALUE"""),"Fatimah Azzahra")</f>
        <v>Fatimah Azzahra</v>
      </c>
      <c r="O1047" s="6"/>
      <c r="P1047" s="10" t="str">
        <f>IFERROR(__xludf.DUMMYFUNCTION("""COMPUTED_VALUE"""),"Ari Susanti, Astuning Saharsini, Era Trianita Saputra, Dewi Ika Oktavia, Budi Istiyanto, Fatimah Azzahra")</f>
        <v>Ari Susanti, Astuning Saharsini, Era Trianita Saputra, Dewi Ika Oktavia, Budi Istiyanto, Fatimah Azzahra</v>
      </c>
      <c r="Q1047" s="11" t="str">
        <f>IFERROR(__xludf.DUMMYFUNCTION("""COMPUTED_VALUE"""),"https://bengawan.poltekindonusa.ac.id/index.php/jurnal_bengawan/article/view/183")</f>
        <v>https://bengawan.poltekindonusa.ac.id/index.php/jurnal_bengawan/article/view/183</v>
      </c>
      <c r="R1047" s="6"/>
    </row>
    <row r="1048">
      <c r="A1048" s="5">
        <f>IFERROR(__xludf.DUMMYFUNCTION("""COMPUTED_VALUE"""),1047.0)</f>
        <v>1047</v>
      </c>
      <c r="B1048" s="6" t="str">
        <f>IFERROR(__xludf.DUMMYFUNCTION("""COMPUTED_VALUE"""),"Menumbuhkan Jiwa Wirausaha Santri di Pesantren Al-Hikam: Sinergi Edukasi dan Pemberdayaan")</f>
        <v>Menumbuhkan Jiwa Wirausaha Santri di Pesantren Al-Hikam: Sinergi Edukasi dan Pemberdayaan</v>
      </c>
      <c r="C1048" s="7">
        <f>IFERROR(__xludf.DUMMYFUNCTION("""COMPUTED_VALUE"""),2025.0)</f>
        <v>2025</v>
      </c>
      <c r="D1048" s="8" t="str">
        <f>IFERROR(__xludf.DUMMYFUNCTION("""COMPUTED_VALUE"""),"2024/2025")</f>
        <v>2024/2025</v>
      </c>
      <c r="E1048" s="9">
        <f>IFERROR(__xludf.DUMMYFUNCTION("""COMPUTED_VALUE"""),45834.0)</f>
        <v>45834</v>
      </c>
      <c r="F1048" s="5" t="str">
        <f>IFERROR(__xludf.DUMMYFUNCTION("""COMPUTED_VALUE"""),"Genap")</f>
        <v>Genap</v>
      </c>
      <c r="G1048" s="5" t="str">
        <f>IFERROR(__xludf.DUMMYFUNCTION("""COMPUTED_VALUE"""),"Manajemen")</f>
        <v>Manajemen</v>
      </c>
      <c r="H1048" s="10" t="str">
        <f>IFERROR(__xludf.DUMMYFUNCTION("""COMPUTED_VALUE"""),"Dosen")</f>
        <v>Dosen</v>
      </c>
      <c r="I1048" s="6" t="str">
        <f>IFERROR(__xludf.DUMMYFUNCTION("""COMPUTED_VALUE"""),"Muhammad Jalari")</f>
        <v>Muhammad Jalari</v>
      </c>
      <c r="J1048" s="6" t="str">
        <f>IFERROR(__xludf.DUMMYFUNCTION("""COMPUTED_VALUE"""),"Arif Nugroho Rachman")</f>
        <v>Arif Nugroho Rachman</v>
      </c>
      <c r="K1048" s="6" t="str">
        <f>IFERROR(__xludf.DUMMYFUNCTION("""COMPUTED_VALUE"""),"Eko Triyanto")</f>
        <v>Eko Triyanto</v>
      </c>
      <c r="L1048" s="6"/>
      <c r="M1048" s="6"/>
      <c r="N1048" s="6"/>
      <c r="O1048" s="6"/>
      <c r="P1048" s="10" t="str">
        <f>IFERROR(__xludf.DUMMYFUNCTION("""COMPUTED_VALUE"""),"Muhammad Jalari, Arif Nugroho Rachman, Eko Triyanto")</f>
        <v>Muhammad Jalari, Arif Nugroho Rachman, Eko Triyanto</v>
      </c>
      <c r="Q1048" s="11" t="str">
        <f>IFERROR(__xludf.DUMMYFUNCTION("""COMPUTED_VALUE"""),"https://jurnalpengabdian.stiesurakarta.ac.id/index.php/Dms/article/view/167")</f>
        <v>https://jurnalpengabdian.stiesurakarta.ac.id/index.php/Dms/article/view/167</v>
      </c>
      <c r="R1048" s="6"/>
    </row>
    <row r="1049">
      <c r="A1049" s="5">
        <f>IFERROR(__xludf.DUMMYFUNCTION("""COMPUTED_VALUE"""),1048.0)</f>
        <v>1048</v>
      </c>
      <c r="B1049" s="6" t="str">
        <f>IFERROR(__xludf.DUMMYFUNCTION("""COMPUTED_VALUE"""),"Keterkaitan Modal Usaha dan Financial Technology dalam Keberlangsungan Usaha UMKM")</f>
        <v>Keterkaitan Modal Usaha dan Financial Technology dalam Keberlangsungan Usaha UMKM</v>
      </c>
      <c r="C1049" s="7">
        <f>IFERROR(__xludf.DUMMYFUNCTION("""COMPUTED_VALUE"""),2025.0)</f>
        <v>2025</v>
      </c>
      <c r="D1049" s="8" t="str">
        <f>IFERROR(__xludf.DUMMYFUNCTION("""COMPUTED_VALUE"""),"2024/2025")</f>
        <v>2024/2025</v>
      </c>
      <c r="E1049" s="9">
        <f>IFERROR(__xludf.DUMMYFUNCTION("""COMPUTED_VALUE"""),45838.0)</f>
        <v>45838</v>
      </c>
      <c r="F1049" s="5" t="str">
        <f>IFERROR(__xludf.DUMMYFUNCTION("""COMPUTED_VALUE"""),"Genap")</f>
        <v>Genap</v>
      </c>
      <c r="G1049" s="5" t="str">
        <f>IFERROR(__xludf.DUMMYFUNCTION("""COMPUTED_VALUE"""),"Akuntansi")</f>
        <v>Akuntansi</v>
      </c>
      <c r="H1049" s="10" t="str">
        <f>IFERROR(__xludf.DUMMYFUNCTION("""COMPUTED_VALUE"""),"Dosen")</f>
        <v>Dosen</v>
      </c>
      <c r="I1049" s="6" t="str">
        <f>IFERROR(__xludf.DUMMYFUNCTION("""COMPUTED_VALUE"""),"Tri Ratna Pamikatsih")</f>
        <v>Tri Ratna Pamikatsih</v>
      </c>
      <c r="J1049" s="6" t="str">
        <f>IFERROR(__xludf.DUMMYFUNCTION("""COMPUTED_VALUE"""),"Atik Lusia")</f>
        <v>Atik Lusia</v>
      </c>
      <c r="K1049" s="6"/>
      <c r="L1049" s="6"/>
      <c r="M1049" s="6"/>
      <c r="N1049" s="6"/>
      <c r="O1049" s="6"/>
      <c r="P1049" s="10" t="str">
        <f>IFERROR(__xludf.DUMMYFUNCTION("""COMPUTED_VALUE"""),"Tri Ratna Pamikatsih, Atik Lusia")</f>
        <v>Tri Ratna Pamikatsih, Atik Lusia</v>
      </c>
      <c r="Q1049" s="11" t="str">
        <f>IFERROR(__xludf.DUMMYFUNCTION("""COMPUTED_VALUE"""),"https://www.ejournal.joninstitute.org/index.php/ProBisnis/article/view/962")</f>
        <v>https://www.ejournal.joninstitute.org/index.php/ProBisnis/article/view/962</v>
      </c>
      <c r="R1049" s="6"/>
    </row>
    <row r="1050">
      <c r="A1050" s="5">
        <f>IFERROR(__xludf.DUMMYFUNCTION("""COMPUTED_VALUE"""),1049.0)</f>
        <v>1049</v>
      </c>
      <c r="B1050" s="6" t="str">
        <f>IFERROR(__xludf.DUMMYFUNCTION("""COMPUTED_VALUE"""),"Re-desain Logo sebagai Upaya Meningkatkan Brand Identity pada UMKM Bebek dan Ayam Kampung Goreng Kremes Mbak Fitri Spesial Sambal Blondo di Sukoharjo")</f>
        <v>Re-desain Logo sebagai Upaya Meningkatkan Brand Identity pada UMKM Bebek dan Ayam Kampung Goreng Kremes Mbak Fitri Spesial Sambal Blondo di Sukoharjo</v>
      </c>
      <c r="C1050" s="7">
        <f>IFERROR(__xludf.DUMMYFUNCTION("""COMPUTED_VALUE"""),2025.0)</f>
        <v>2025</v>
      </c>
      <c r="D1050" s="8" t="str">
        <f>IFERROR(__xludf.DUMMYFUNCTION("""COMPUTED_VALUE"""),"2024/2025")</f>
        <v>2024/2025</v>
      </c>
      <c r="E1050" s="9">
        <f>IFERROR(__xludf.DUMMYFUNCTION("""COMPUTED_VALUE"""),45834.0)</f>
        <v>45834</v>
      </c>
      <c r="F1050" s="5" t="str">
        <f>IFERROR(__xludf.DUMMYFUNCTION("""COMPUTED_VALUE"""),"Genap")</f>
        <v>Genap</v>
      </c>
      <c r="G1050" s="5" t="str">
        <f>IFERROR(__xludf.DUMMYFUNCTION("""COMPUTED_VALUE"""),"Manajemen")</f>
        <v>Manajemen</v>
      </c>
      <c r="H1050" s="10" t="str">
        <f>IFERROR(__xludf.DUMMYFUNCTION("""COMPUTED_VALUE"""),"Dosen")</f>
        <v>Dosen</v>
      </c>
      <c r="I1050" s="6" t="str">
        <f>IFERROR(__xludf.DUMMYFUNCTION("""COMPUTED_VALUE"""),"Elida Zia'ul Huda")</f>
        <v>Elida Zia'ul Huda</v>
      </c>
      <c r="J1050" s="6" t="str">
        <f>IFERROR(__xludf.DUMMYFUNCTION("""COMPUTED_VALUE"""),"R. Taufiq Nur Muftiyanto")</f>
        <v>R. Taufiq Nur Muftiyanto</v>
      </c>
      <c r="K1050" s="6" t="str">
        <f>IFERROR(__xludf.DUMMYFUNCTION("""COMPUTED_VALUE"""),"Budi Istiyanto")</f>
        <v>Budi Istiyanto</v>
      </c>
      <c r="L1050" s="6"/>
      <c r="M1050" s="6"/>
      <c r="N1050" s="6"/>
      <c r="O1050" s="6"/>
      <c r="P1050" s="10" t="str">
        <f>IFERROR(__xludf.DUMMYFUNCTION("""COMPUTED_VALUE"""),"Elida Zia'ul Huda, R. Taufiq Nur Muftiyanto, Budi Istiyanto")</f>
        <v>Elida Zia'ul Huda, R. Taufiq Nur Muftiyanto, Budi Istiyanto</v>
      </c>
      <c r="Q1050" s="11" t="str">
        <f>IFERROR(__xludf.DUMMYFUNCTION("""COMPUTED_VALUE"""),"https://jurnalpengabdian.stiesurakarta.ac.id/index.php/Dms/article/view/150")</f>
        <v>https://jurnalpengabdian.stiesurakarta.ac.id/index.php/Dms/article/view/150</v>
      </c>
      <c r="R1050" s="6"/>
    </row>
    <row r="1051">
      <c r="A1051" s="5">
        <f>IFERROR(__xludf.DUMMYFUNCTION("""COMPUTED_VALUE"""),1050.0)</f>
        <v>1050</v>
      </c>
      <c r="B1051" s="6" t="str">
        <f>IFERROR(__xludf.DUMMYFUNCTION("""COMPUTED_VALUE"""),"Pelatihan Analisis SWOT pada UMKM Yuni Snack Boyolali")</f>
        <v>Pelatihan Analisis SWOT pada UMKM Yuni Snack Boyolali</v>
      </c>
      <c r="C1051" s="7">
        <f>IFERROR(__xludf.DUMMYFUNCTION("""COMPUTED_VALUE"""),2025.0)</f>
        <v>2025</v>
      </c>
      <c r="D1051" s="8" t="str">
        <f>IFERROR(__xludf.DUMMYFUNCTION("""COMPUTED_VALUE"""),"2024/2025")</f>
        <v>2024/2025</v>
      </c>
      <c r="E1051" s="9">
        <f>IFERROR(__xludf.DUMMYFUNCTION("""COMPUTED_VALUE"""),45834.0)</f>
        <v>45834</v>
      </c>
      <c r="F1051" s="5" t="str">
        <f>IFERROR(__xludf.DUMMYFUNCTION("""COMPUTED_VALUE"""),"Genap")</f>
        <v>Genap</v>
      </c>
      <c r="G1051" s="5" t="str">
        <f>IFERROR(__xludf.DUMMYFUNCTION("""COMPUTED_VALUE"""),"Akuntansi")</f>
        <v>Akuntansi</v>
      </c>
      <c r="H1051" s="10" t="str">
        <f>IFERROR(__xludf.DUMMYFUNCTION("""COMPUTED_VALUE"""),"Dosen")</f>
        <v>Dosen</v>
      </c>
      <c r="I1051" s="6" t="str">
        <f>IFERROR(__xludf.DUMMYFUNCTION("""COMPUTED_VALUE"""),"Eko Triyanto")</f>
        <v>Eko Triyanto</v>
      </c>
      <c r="J1051" s="6" t="str">
        <f>IFERROR(__xludf.DUMMYFUNCTION("""COMPUTED_VALUE"""),"Christiawan Hendratmoko")</f>
        <v>Christiawan Hendratmoko</v>
      </c>
      <c r="K1051" s="6" t="str">
        <f>IFERROR(__xludf.DUMMYFUNCTION("""COMPUTED_VALUE"""),"Ismunawan")</f>
        <v>Ismunawan</v>
      </c>
      <c r="L1051" s="6" t="str">
        <f>IFERROR(__xludf.DUMMYFUNCTION("""COMPUTED_VALUE"""),"Heny Kurnianingsih")</f>
        <v>Heny Kurnianingsih</v>
      </c>
      <c r="M1051" s="6" t="str">
        <f>IFERROR(__xludf.DUMMYFUNCTION("""COMPUTED_VALUE"""),"Andri Nurtantiono")</f>
        <v>Andri Nurtantiono</v>
      </c>
      <c r="N1051" s="6"/>
      <c r="O1051" s="6"/>
      <c r="P1051" s="10" t="str">
        <f>IFERROR(__xludf.DUMMYFUNCTION("""COMPUTED_VALUE"""),"Eko Triyanto, Christiawan Hendratmoko, Ismunawan, Heny Kurnianingsih, Andri Nurtantiono")</f>
        <v>Eko Triyanto, Christiawan Hendratmoko, Ismunawan, Heny Kurnianingsih, Andri Nurtantiono</v>
      </c>
      <c r="Q1051" s="11" t="str">
        <f>IFERROR(__xludf.DUMMYFUNCTION("""COMPUTED_VALUE"""),"https://jurnalpengabdian.stiesurakarta.ac.id/index.php/Dms/article/view/160")</f>
        <v>https://jurnalpengabdian.stiesurakarta.ac.id/index.php/Dms/article/view/160</v>
      </c>
      <c r="R1051" s="6"/>
    </row>
    <row r="1052">
      <c r="A1052" s="5">
        <f>IFERROR(__xludf.DUMMYFUNCTION("""COMPUTED_VALUE"""),1051.0)</f>
        <v>1051</v>
      </c>
      <c r="B1052" s="6" t="str">
        <f>IFERROR(__xludf.DUMMYFUNCTION("""COMPUTED_VALUE"""),"Pendampingan Pembuatan Buyer Persona Minoa Coffee &amp; Eatery, Cengklik, Ngemplak, Boyolali")</f>
        <v>Pendampingan Pembuatan Buyer Persona Minoa Coffee &amp; Eatery, Cengklik, Ngemplak, Boyolali</v>
      </c>
      <c r="C1052" s="7">
        <f>IFERROR(__xludf.DUMMYFUNCTION("""COMPUTED_VALUE"""),2025.0)</f>
        <v>2025</v>
      </c>
      <c r="D1052" s="8" t="str">
        <f>IFERROR(__xludf.DUMMYFUNCTION("""COMPUTED_VALUE"""),"2024/2025")</f>
        <v>2024/2025</v>
      </c>
      <c r="E1052" s="9">
        <f>IFERROR(__xludf.DUMMYFUNCTION("""COMPUTED_VALUE"""),45834.0)</f>
        <v>45834</v>
      </c>
      <c r="F1052" s="5" t="str">
        <f>IFERROR(__xludf.DUMMYFUNCTION("""COMPUTED_VALUE"""),"Genap")</f>
        <v>Genap</v>
      </c>
      <c r="G1052" s="5" t="str">
        <f>IFERROR(__xludf.DUMMYFUNCTION("""COMPUTED_VALUE"""),"Manajemen")</f>
        <v>Manajemen</v>
      </c>
      <c r="H1052" s="10" t="str">
        <f>IFERROR(__xludf.DUMMYFUNCTION("""COMPUTED_VALUE"""),"Dosen")</f>
        <v>Dosen</v>
      </c>
      <c r="I1052" s="6" t="str">
        <f>IFERROR(__xludf.DUMMYFUNCTION("""COMPUTED_VALUE"""),"Muhammad Syihabuddin")</f>
        <v>Muhammad Syihabuddin</v>
      </c>
      <c r="J1052" s="6"/>
      <c r="K1052" s="6"/>
      <c r="L1052" s="6"/>
      <c r="M1052" s="6"/>
      <c r="N1052" s="6"/>
      <c r="O1052" s="6"/>
      <c r="P1052" s="10" t="str">
        <f>IFERROR(__xludf.DUMMYFUNCTION("""COMPUTED_VALUE"""),"Muhammad Syihabuddin   ")</f>
        <v>Muhammad Syihabuddin   </v>
      </c>
      <c r="Q1052" s="11" t="str">
        <f>IFERROR(__xludf.DUMMYFUNCTION("""COMPUTED_VALUE"""),"https://jurnalpengabdian.stiesurakarta.ac.id/index.php/Dms/article/view/162")</f>
        <v>https://jurnalpengabdian.stiesurakarta.ac.id/index.php/Dms/article/view/162</v>
      </c>
      <c r="R1052" s="6"/>
    </row>
    <row r="1053">
      <c r="A1053" s="5">
        <f>IFERROR(__xludf.DUMMYFUNCTION("""COMPUTED_VALUE"""),1052.0)</f>
        <v>1052</v>
      </c>
      <c r="B1053" s="6" t="str">
        <f>IFERROR(__xludf.DUMMYFUNCTION("""COMPUTED_VALUE"""),"Mengangkat Identitas Lokal: Edukasi Perlindungan Merek bagi UMKM Kepepes Sukoharjo")</f>
        <v>Mengangkat Identitas Lokal: Edukasi Perlindungan Merek bagi UMKM Kepepes Sukoharjo</v>
      </c>
      <c r="C1053" s="7">
        <f>IFERROR(__xludf.DUMMYFUNCTION("""COMPUTED_VALUE"""),2025.0)</f>
        <v>2025</v>
      </c>
      <c r="D1053" s="8" t="str">
        <f>IFERROR(__xludf.DUMMYFUNCTION("""COMPUTED_VALUE"""),"2024/2025")</f>
        <v>2024/2025</v>
      </c>
      <c r="E1053" s="9">
        <f>IFERROR(__xludf.DUMMYFUNCTION("""COMPUTED_VALUE"""),45834.0)</f>
        <v>45834</v>
      </c>
      <c r="F1053" s="5" t="str">
        <f>IFERROR(__xludf.DUMMYFUNCTION("""COMPUTED_VALUE"""),"Genap")</f>
        <v>Genap</v>
      </c>
      <c r="G1053" s="5" t="str">
        <f>IFERROR(__xludf.DUMMYFUNCTION("""COMPUTED_VALUE"""),"Manajemen")</f>
        <v>Manajemen</v>
      </c>
      <c r="H1053" s="10" t="str">
        <f>IFERROR(__xludf.DUMMYFUNCTION("""COMPUTED_VALUE"""),"Dosen")</f>
        <v>Dosen</v>
      </c>
      <c r="I1053" s="6" t="str">
        <f>IFERROR(__xludf.DUMMYFUNCTION("""COMPUTED_VALUE"""),"Aditya Liliyan")</f>
        <v>Aditya Liliyan</v>
      </c>
      <c r="J1053" s="6" t="str">
        <f>IFERROR(__xludf.DUMMYFUNCTION("""COMPUTED_VALUE"""),"Danang Dwi Saputro")</f>
        <v>Danang Dwi Saputro</v>
      </c>
      <c r="K1053" s="6"/>
      <c r="L1053" s="6"/>
      <c r="M1053" s="6"/>
      <c r="N1053" s="6"/>
      <c r="O1053" s="6"/>
      <c r="P1053" s="10" t="str">
        <f>IFERROR(__xludf.DUMMYFUNCTION("""COMPUTED_VALUE"""),"Aditya Liliyan, Danang Dwi Saputro")</f>
        <v>Aditya Liliyan, Danang Dwi Saputro</v>
      </c>
      <c r="Q1053" s="11" t="str">
        <f>IFERROR(__xludf.DUMMYFUNCTION("""COMPUTED_VALUE"""),"https://jurnalpengabdian.stiesurakarta.ac.id/index.php/Dms/article/view/165")</f>
        <v>https://jurnalpengabdian.stiesurakarta.ac.id/index.php/Dms/article/view/165</v>
      </c>
      <c r="R1053" s="6"/>
    </row>
    <row r="1054">
      <c r="A1054" s="5">
        <f>IFERROR(__xludf.DUMMYFUNCTION("""COMPUTED_VALUE"""),1053.0)</f>
        <v>1053</v>
      </c>
      <c r="B1054" s="6" t="str">
        <f>IFERROR(__xludf.DUMMYFUNCTION("""COMPUTED_VALUE"""),"Kreativitas Visual dalam Dunia Digital Marketing: Pelatihan Editing Video untuk Generasi Konten Mahasiswa")</f>
        <v>Kreativitas Visual dalam Dunia Digital Marketing: Pelatihan Editing Video untuk Generasi Konten Mahasiswa</v>
      </c>
      <c r="C1054" s="7">
        <f>IFERROR(__xludf.DUMMYFUNCTION("""COMPUTED_VALUE"""),2025.0)</f>
        <v>2025</v>
      </c>
      <c r="D1054" s="8" t="str">
        <f>IFERROR(__xludf.DUMMYFUNCTION("""COMPUTED_VALUE"""),"2024/2025")</f>
        <v>2024/2025</v>
      </c>
      <c r="E1054" s="9">
        <f>IFERROR(__xludf.DUMMYFUNCTION("""COMPUTED_VALUE"""),45834.0)</f>
        <v>45834</v>
      </c>
      <c r="F1054" s="5" t="str">
        <f>IFERROR(__xludf.DUMMYFUNCTION("""COMPUTED_VALUE"""),"Genap")</f>
        <v>Genap</v>
      </c>
      <c r="G1054" s="5" t="str">
        <f>IFERROR(__xludf.DUMMYFUNCTION("""COMPUTED_VALUE"""),"Manajemen")</f>
        <v>Manajemen</v>
      </c>
      <c r="H1054" s="10" t="str">
        <f>IFERROR(__xludf.DUMMYFUNCTION("""COMPUTED_VALUE"""),"Dosen")</f>
        <v>Dosen</v>
      </c>
      <c r="I1054" s="6" t="str">
        <f>IFERROR(__xludf.DUMMYFUNCTION("""COMPUTED_VALUE"""),"Satria Veriansyah Wiguna")</f>
        <v>Satria Veriansyah Wiguna</v>
      </c>
      <c r="J1054" s="6" t="str">
        <f>IFERROR(__xludf.DUMMYFUNCTION("""COMPUTED_VALUE"""),"Ridwan Mufid Khoirulloh")</f>
        <v>Ridwan Mufid Khoirulloh</v>
      </c>
      <c r="K1054" s="6"/>
      <c r="L1054" s="6"/>
      <c r="M1054" s="6"/>
      <c r="N1054" s="6"/>
      <c r="O1054" s="6"/>
      <c r="P1054" s="10" t="str">
        <f>IFERROR(__xludf.DUMMYFUNCTION("""COMPUTED_VALUE"""),"Satria Veriansyah Wiguna, Ridwan Mufid Khoirulloh")</f>
        <v>Satria Veriansyah Wiguna, Ridwan Mufid Khoirulloh</v>
      </c>
      <c r="Q1054" s="11" t="str">
        <f>IFERROR(__xludf.DUMMYFUNCTION("""COMPUTED_VALUE"""),"https://jurnalpengabdian.stiesurakarta.ac.id/index.php/Dms/article/view/166")</f>
        <v>https://jurnalpengabdian.stiesurakarta.ac.id/index.php/Dms/article/view/166</v>
      </c>
      <c r="R1054" s="6"/>
    </row>
    <row r="1055">
      <c r="A1055" s="5">
        <f>IFERROR(__xludf.DUMMYFUNCTION("""COMPUTED_VALUE"""),1054.0)</f>
        <v>1054</v>
      </c>
      <c r="B1055" s="6" t="str">
        <f>IFERROR(__xludf.DUMMYFUNCTION("""COMPUTED_VALUE"""),"Pendampingan Implementasi Software Akuntansi ESB pada UMKM Minoa Coffe and Eatery, Boyolali
")</f>
        <v>Pendampingan Implementasi Software Akuntansi ESB pada UMKM Minoa Coffe and Eatery, Boyolali
</v>
      </c>
      <c r="C1055" s="7">
        <f>IFERROR(__xludf.DUMMYFUNCTION("""COMPUTED_VALUE"""),2025.0)</f>
        <v>2025</v>
      </c>
      <c r="D1055" s="8" t="str">
        <f>IFERROR(__xludf.DUMMYFUNCTION("""COMPUTED_VALUE"""),"2024/2025")</f>
        <v>2024/2025</v>
      </c>
      <c r="E1055" s="9">
        <f>IFERROR(__xludf.DUMMYFUNCTION("""COMPUTED_VALUE"""),45834.0)</f>
        <v>45834</v>
      </c>
      <c r="F1055" s="5" t="str">
        <f>IFERROR(__xludf.DUMMYFUNCTION("""COMPUTED_VALUE"""),"Genap")</f>
        <v>Genap</v>
      </c>
      <c r="G1055" s="5" t="str">
        <f>IFERROR(__xludf.DUMMYFUNCTION("""COMPUTED_VALUE"""),"Akuntansi")</f>
        <v>Akuntansi</v>
      </c>
      <c r="H1055" s="10" t="str">
        <f>IFERROR(__xludf.DUMMYFUNCTION("""COMPUTED_VALUE"""),"Dosen")</f>
        <v>Dosen</v>
      </c>
      <c r="I1055" s="6" t="str">
        <f>IFERROR(__xludf.DUMMYFUNCTION("""COMPUTED_VALUE"""),"Dika Puspitaningrum")</f>
        <v>Dika Puspitaningrum</v>
      </c>
      <c r="J1055" s="6" t="str">
        <f>IFERROR(__xludf.DUMMYFUNCTION("""COMPUTED_VALUE"""),"Fatah Mario Andaru")</f>
        <v>Fatah Mario Andaru</v>
      </c>
      <c r="K1055" s="6"/>
      <c r="L1055" s="6"/>
      <c r="M1055" s="6"/>
      <c r="N1055" s="6"/>
      <c r="O1055" s="6"/>
      <c r="P1055" s="10" t="str">
        <f>IFERROR(__xludf.DUMMYFUNCTION("""COMPUTED_VALUE"""),"Dika Puspitaningrum, Fatah Mario Andaru")</f>
        <v>Dika Puspitaningrum, Fatah Mario Andaru</v>
      </c>
      <c r="Q1055" s="11" t="str">
        <f>IFERROR(__xludf.DUMMYFUNCTION("""COMPUTED_VALUE"""),"https://jurnalpengabdian.stiesurakarta.ac.id/index.php/Dms/article/view/161")</f>
        <v>https://jurnalpengabdian.stiesurakarta.ac.id/index.php/Dms/article/view/161</v>
      </c>
      <c r="R1055" s="6"/>
    </row>
    <row r="1056">
      <c r="A1056" s="5">
        <f>IFERROR(__xludf.DUMMYFUNCTION("""COMPUTED_VALUE"""),1055.0)</f>
        <v>1055</v>
      </c>
      <c r="B1056" s="6" t="str">
        <f>IFERROR(__xludf.DUMMYFUNCTION("""COMPUTED_VALUE"""),"Dampak Pemilu 2024 terhadap Perilaku Investor: Kajian Empiris Pada Saham LQ45 Menggunakan Pendekatan Event Study
")</f>
        <v>Dampak Pemilu 2024 terhadap Perilaku Investor: Kajian Empiris Pada Saham LQ45 Menggunakan Pendekatan Event Study
</v>
      </c>
      <c r="C1056" s="7">
        <f>IFERROR(__xludf.DUMMYFUNCTION("""COMPUTED_VALUE"""),2025.0)</f>
        <v>2025</v>
      </c>
      <c r="D1056" s="8" t="str">
        <f>IFERROR(__xludf.DUMMYFUNCTION("""COMPUTED_VALUE"""),"2024/2025")</f>
        <v>2024/2025</v>
      </c>
      <c r="E1056" s="9">
        <f>IFERROR(__xludf.DUMMYFUNCTION("""COMPUTED_VALUE"""),45830.0)</f>
        <v>45830</v>
      </c>
      <c r="F1056" s="5" t="str">
        <f>IFERROR(__xludf.DUMMYFUNCTION("""COMPUTED_VALUE"""),"Genap")</f>
        <v>Genap</v>
      </c>
      <c r="G1056" s="5" t="str">
        <f>IFERROR(__xludf.DUMMYFUNCTION("""COMPUTED_VALUE"""),"Akuntansi")</f>
        <v>Akuntansi</v>
      </c>
      <c r="H1056" s="10" t="str">
        <f>IFERROR(__xludf.DUMMYFUNCTION("""COMPUTED_VALUE"""),"Mahasiswa")</f>
        <v>Mahasiswa</v>
      </c>
      <c r="I1056" s="6" t="str">
        <f>IFERROR(__xludf.DUMMYFUNCTION("""COMPUTED_VALUE"""),"Adisti Rizqi Yuni Lestari")</f>
        <v>Adisti Rizqi Yuni Lestari</v>
      </c>
      <c r="J1056" s="6" t="str">
        <f>IFERROR(__xludf.DUMMYFUNCTION("""COMPUTED_VALUE"""),"Eko Triyanto")</f>
        <v>Eko Triyanto</v>
      </c>
      <c r="K1056" s="6"/>
      <c r="L1056" s="6"/>
      <c r="M1056" s="6"/>
      <c r="N1056" s="6"/>
      <c r="O1056" s="6"/>
      <c r="P1056" s="10" t="str">
        <f>IFERROR(__xludf.DUMMYFUNCTION("""COMPUTED_VALUE"""),"Adisti Rizqi Yuni Lestari, Eko Triyanto")</f>
        <v>Adisti Rizqi Yuni Lestari, Eko Triyanto</v>
      </c>
      <c r="Q1056" s="11" t="str">
        <f>IFERROR(__xludf.DUMMYFUNCTION("""COMPUTED_VALUE"""),"https://jurnal.stiesurakarta.ac.id/index.php/jebdeker/article/view/861")</f>
        <v>https://jurnal.stiesurakarta.ac.id/index.php/jebdeker/article/view/861</v>
      </c>
      <c r="R1056" s="6"/>
    </row>
    <row r="1057">
      <c r="A1057" s="5">
        <f>IFERROR(__xludf.DUMMYFUNCTION("""COMPUTED_VALUE"""),1056.0)</f>
        <v>1056</v>
      </c>
      <c r="B1057" s="6" t="str">
        <f>IFERROR(__xludf.DUMMYFUNCTION("""COMPUTED_VALUE"""),"Optimalisasi Manajemen Persediaan Berbasis Keuangan Pada Toko Novi (Bu Atun) di Klaten")</f>
        <v>Optimalisasi Manajemen Persediaan Berbasis Keuangan Pada Toko Novi (Bu Atun) di Klaten</v>
      </c>
      <c r="C1057" s="7">
        <f>IFERROR(__xludf.DUMMYFUNCTION("""COMPUTED_VALUE"""),2025.0)</f>
        <v>2025</v>
      </c>
      <c r="D1057" s="8" t="str">
        <f>IFERROR(__xludf.DUMMYFUNCTION("""COMPUTED_VALUE"""),"2024/2025")</f>
        <v>2024/2025</v>
      </c>
      <c r="E1057" s="9">
        <f>IFERROR(__xludf.DUMMYFUNCTION("""COMPUTED_VALUE"""),45832.0)</f>
        <v>45832</v>
      </c>
      <c r="F1057" s="5" t="str">
        <f>IFERROR(__xludf.DUMMYFUNCTION("""COMPUTED_VALUE"""),"Genap")</f>
        <v>Genap</v>
      </c>
      <c r="G1057" s="5" t="str">
        <f>IFERROR(__xludf.DUMMYFUNCTION("""COMPUTED_VALUE"""),"Akuntansi")</f>
        <v>Akuntansi</v>
      </c>
      <c r="H1057" s="10" t="str">
        <f>IFERROR(__xludf.DUMMYFUNCTION("""COMPUTED_VALUE"""),"Dosen")</f>
        <v>Dosen</v>
      </c>
      <c r="I1057" s="6" t="str">
        <f>IFERROR(__xludf.DUMMYFUNCTION("""COMPUTED_VALUE"""),"Tri Ratna Pamikatsih")</f>
        <v>Tri Ratna Pamikatsih</v>
      </c>
      <c r="J1057" s="6" t="str">
        <f>IFERROR(__xludf.DUMMYFUNCTION("""COMPUTED_VALUE"""),"Dewi Ika Octavia")</f>
        <v>Dewi Ika Octavia</v>
      </c>
      <c r="K1057" s="6"/>
      <c r="L1057" s="6"/>
      <c r="M1057" s="6"/>
      <c r="N1057" s="6"/>
      <c r="O1057" s="6"/>
      <c r="P1057" s="10" t="str">
        <f>IFERROR(__xludf.DUMMYFUNCTION("""COMPUTED_VALUE"""),"Tri Ratna Pamikatsih, Dewi Ika Octavia")</f>
        <v>Tri Ratna Pamikatsih, Dewi Ika Octavia</v>
      </c>
      <c r="Q1057" s="11" t="str">
        <f>IFERROR(__xludf.DUMMYFUNCTION("""COMPUTED_VALUE"""),"https://ejournal.utp.ac.id/index.php/JPF/article/view/5175")</f>
        <v>https://ejournal.utp.ac.id/index.php/JPF/article/view/5175</v>
      </c>
      <c r="R1057" s="11" t="str">
        <f>IFERROR(__xludf.DUMMYFUNCTION("""COMPUTED_VALUE"""),"https://drive.google.com/file/d/1ULdAyeYKbk9HxscPkbceFg8xFPk9QeDZ/view?usp=drive_link")</f>
        <v>https://drive.google.com/file/d/1ULdAyeYKbk9HxscPkbceFg8xFPk9QeDZ/view?usp=drive_link</v>
      </c>
    </row>
    <row r="1058">
      <c r="A1058" s="5">
        <f>IFERROR(__xludf.DUMMYFUNCTION("""COMPUTED_VALUE"""),1057.0)</f>
        <v>1057</v>
      </c>
      <c r="B1058" s="6" t="str">
        <f>IFERROR(__xludf.DUMMYFUNCTION("""COMPUTED_VALUE"""),"Pendampingan Pencatatan Kartu Persediaan Dalam Meningkatkan Kinerja UMKM pada Djan Eco Bakery")</f>
        <v>Pendampingan Pencatatan Kartu Persediaan Dalam Meningkatkan Kinerja UMKM pada Djan Eco Bakery</v>
      </c>
      <c r="C1058" s="7">
        <f>IFERROR(__xludf.DUMMYFUNCTION("""COMPUTED_VALUE"""),2025.0)</f>
        <v>2025</v>
      </c>
      <c r="D1058" s="8" t="str">
        <f>IFERROR(__xludf.DUMMYFUNCTION("""COMPUTED_VALUE"""),"2024/2025")</f>
        <v>2024/2025</v>
      </c>
      <c r="E1058" s="9">
        <f>IFERROR(__xludf.DUMMYFUNCTION("""COMPUTED_VALUE"""),45818.0)</f>
        <v>45818</v>
      </c>
      <c r="F1058" s="5" t="str">
        <f>IFERROR(__xludf.DUMMYFUNCTION("""COMPUTED_VALUE"""),"Genap")</f>
        <v>Genap</v>
      </c>
      <c r="G1058" s="5" t="str">
        <f>IFERROR(__xludf.DUMMYFUNCTION("""COMPUTED_VALUE"""),"Akuntansi")</f>
        <v>Akuntansi</v>
      </c>
      <c r="H1058" s="10" t="str">
        <f>IFERROR(__xludf.DUMMYFUNCTION("""COMPUTED_VALUE"""),"Dosen")</f>
        <v>Dosen</v>
      </c>
      <c r="I1058" s="6" t="str">
        <f>IFERROR(__xludf.DUMMYFUNCTION("""COMPUTED_VALUE"""),"Dewi Ika Octavia")</f>
        <v>Dewi Ika Octavia</v>
      </c>
      <c r="J1058" s="6" t="str">
        <f>IFERROR(__xludf.DUMMYFUNCTION("""COMPUTED_VALUE"""),"Ari Susanti")</f>
        <v>Ari Susanti</v>
      </c>
      <c r="K1058" s="6" t="str">
        <f>IFERROR(__xludf.DUMMYFUNCTION("""COMPUTED_VALUE"""),"Era Trianita Saputra")</f>
        <v>Era Trianita Saputra</v>
      </c>
      <c r="L1058" s="6" t="str">
        <f>IFERROR(__xludf.DUMMYFUNCTION("""COMPUTED_VALUE"""),"Sri Partini")</f>
        <v>Sri Partini</v>
      </c>
      <c r="M1058" s="6"/>
      <c r="N1058" s="6"/>
      <c r="O1058" s="6"/>
      <c r="P1058" s="10" t="str">
        <f>IFERROR(__xludf.DUMMYFUNCTION("""COMPUTED_VALUE"""),"Dewi Ika Octavia, Ari Susanti, Era Trianita Saputra, Sri Partini")</f>
        <v>Dewi Ika Octavia, Ari Susanti, Era Trianita Saputra, Sri Partini</v>
      </c>
      <c r="Q1058" s="11" t="str">
        <f>IFERROR(__xludf.DUMMYFUNCTION("""COMPUTED_VALUE"""),"https://bengawan.poltekindonusa.ac.id/index.php/jurnal_bengawan/article/view/182")</f>
        <v>https://bengawan.poltekindonusa.ac.id/index.php/jurnal_bengawan/article/view/182</v>
      </c>
      <c r="R1058" s="6"/>
    </row>
    <row r="1059">
      <c r="A1059" s="5">
        <f>IFERROR(__xludf.DUMMYFUNCTION("""COMPUTED_VALUE"""),1058.0)</f>
        <v>1058</v>
      </c>
      <c r="B1059" s="6" t="str">
        <f>IFERROR(__xludf.DUMMYFUNCTION("""COMPUTED_VALUE"""),"The Influence of Digital Marketing Capability and Behavioral Customer Relationship Management on Increasing Sales of MSMES : Empirical Study in Surakarta City")</f>
        <v>The Influence of Digital Marketing Capability and Behavioral Customer Relationship Management on Increasing Sales of MSMES : Empirical Study in Surakarta City</v>
      </c>
      <c r="C1059" s="7">
        <f>IFERROR(__xludf.DUMMYFUNCTION("""COMPUTED_VALUE"""),2025.0)</f>
        <v>2025</v>
      </c>
      <c r="D1059" s="8" t="str">
        <f>IFERROR(__xludf.DUMMYFUNCTION("""COMPUTED_VALUE"""),"2024/2025")</f>
        <v>2024/2025</v>
      </c>
      <c r="E1059" s="9">
        <f>IFERROR(__xludf.DUMMYFUNCTION("""COMPUTED_VALUE"""),45812.0)</f>
        <v>45812</v>
      </c>
      <c r="F1059" s="5" t="str">
        <f>IFERROR(__xludf.DUMMYFUNCTION("""COMPUTED_VALUE"""),"Genap")</f>
        <v>Genap</v>
      </c>
      <c r="G1059" s="5" t="str">
        <f>IFERROR(__xludf.DUMMYFUNCTION("""COMPUTED_VALUE"""),"Manajemen")</f>
        <v>Manajemen</v>
      </c>
      <c r="H1059" s="10" t="str">
        <f>IFERROR(__xludf.DUMMYFUNCTION("""COMPUTED_VALUE"""),"Dosen")</f>
        <v>Dosen</v>
      </c>
      <c r="I1059" s="6" t="str">
        <f>IFERROR(__xludf.DUMMYFUNCTION("""COMPUTED_VALUE"""),"Muhammad Syihabuddin")</f>
        <v>Muhammad Syihabuddin</v>
      </c>
      <c r="J1059" s="6" t="str">
        <f>IFERROR(__xludf.DUMMYFUNCTION("""COMPUTED_VALUE"""),"Astuti Wulandari")</f>
        <v>Astuti Wulandari</v>
      </c>
      <c r="K1059" s="6"/>
      <c r="L1059" s="6"/>
      <c r="M1059" s="6"/>
      <c r="N1059" s="6"/>
      <c r="O1059" s="6"/>
      <c r="P1059" s="10" t="str">
        <f>IFERROR(__xludf.DUMMYFUNCTION("""COMPUTED_VALUE"""),"Muhammad Syihabuddin, Astuti Wulandari")</f>
        <v>Muhammad Syihabuddin, Astuti Wulandari</v>
      </c>
      <c r="Q1059" s="11" t="str">
        <f>IFERROR(__xludf.DUMMYFUNCTION("""COMPUTED_VALUE"""),"https://jurnal.unai.edu/index.php/jtimb/article/view/4016")</f>
        <v>https://jurnal.unai.edu/index.php/jtimb/article/view/4016</v>
      </c>
      <c r="R1059" s="11" t="str">
        <f>IFERROR(__xludf.DUMMYFUNCTION("""COMPUTED_VALUE"""),"https://drive.google.com/file/d/1_3PJVDjQF-sdikp7-K8bU8W3TteRIsfc/view?usp=drive_link")</f>
        <v>https://drive.google.com/file/d/1_3PJVDjQF-sdikp7-K8bU8W3TteRIsfc/view?usp=drive_link</v>
      </c>
    </row>
    <row r="1060">
      <c r="A1060" s="5">
        <f>IFERROR(__xludf.DUMMYFUNCTION("""COMPUTED_VALUE"""),1059.0)</f>
        <v>1059</v>
      </c>
      <c r="B1060" s="6" t="str">
        <f>IFERROR(__xludf.DUMMYFUNCTION("""COMPUTED_VALUE"""),"The Effect of Experiential Marketing on Word of Mouth With Customer Satisfaction as a Mediation Variable (Case Study at Srivijava Coffee)")</f>
        <v>The Effect of Experiential Marketing on Word of Mouth With Customer Satisfaction as a Mediation Variable (Case Study at Srivijava Coffee)</v>
      </c>
      <c r="C1060" s="7">
        <f>IFERROR(__xludf.DUMMYFUNCTION("""COMPUTED_VALUE"""),2025.0)</f>
        <v>2025</v>
      </c>
      <c r="D1060" s="8" t="str">
        <f>IFERROR(__xludf.DUMMYFUNCTION("""COMPUTED_VALUE"""),"2024/2025")</f>
        <v>2024/2025</v>
      </c>
      <c r="E1060" s="9">
        <f>IFERROR(__xludf.DUMMYFUNCTION("""COMPUTED_VALUE"""),45812.0)</f>
        <v>45812</v>
      </c>
      <c r="F1060" s="5" t="str">
        <f>IFERROR(__xludf.DUMMYFUNCTION("""COMPUTED_VALUE"""),"Genap")</f>
        <v>Genap</v>
      </c>
      <c r="G1060" s="5" t="str">
        <f>IFERROR(__xludf.DUMMYFUNCTION("""COMPUTED_VALUE"""),"Manajemen")</f>
        <v>Manajemen</v>
      </c>
      <c r="H1060" s="10" t="str">
        <f>IFERROR(__xludf.DUMMYFUNCTION("""COMPUTED_VALUE"""),"Dosen")</f>
        <v>Dosen</v>
      </c>
      <c r="I1060" s="6" t="str">
        <f>IFERROR(__xludf.DUMMYFUNCTION("""COMPUTED_VALUE"""),"Aditya Liliyan")</f>
        <v>Aditya Liliyan</v>
      </c>
      <c r="J1060" s="6" t="str">
        <f>IFERROR(__xludf.DUMMYFUNCTION("""COMPUTED_VALUE"""),"Fahmi Rizka Luqmana")</f>
        <v>Fahmi Rizka Luqmana</v>
      </c>
      <c r="K1060" s="6"/>
      <c r="L1060" s="6"/>
      <c r="M1060" s="6"/>
      <c r="N1060" s="6"/>
      <c r="O1060" s="6"/>
      <c r="P1060" s="10" t="str">
        <f>IFERROR(__xludf.DUMMYFUNCTION("""COMPUTED_VALUE"""),"Aditya Liliyan, Fahmi Rizka Luqmana")</f>
        <v>Aditya Liliyan, Fahmi Rizka Luqmana</v>
      </c>
      <c r="Q1060" s="11" t="str">
        <f>IFERROR(__xludf.DUMMYFUNCTION("""COMPUTED_VALUE"""),"https://jurnal.unai.edu/index.php/jtimb/article/view/4015")</f>
        <v>https://jurnal.unai.edu/index.php/jtimb/article/view/4015</v>
      </c>
      <c r="R1060" s="6"/>
    </row>
    <row r="1061">
      <c r="A1061" s="5">
        <f>IFERROR(__xludf.DUMMYFUNCTION("""COMPUTED_VALUE"""),1060.0)</f>
        <v>1060</v>
      </c>
      <c r="B1061" s="6" t="str">
        <f>IFERROR(__xludf.DUMMYFUNCTION("""COMPUTED_VALUE"""),"Faktor Penentu Kualitas Pelaporan Keuangan UMKM Fashion : Studi Empiris di Surakarta")</f>
        <v>Faktor Penentu Kualitas Pelaporan Keuangan UMKM Fashion : Studi Empiris di Surakarta</v>
      </c>
      <c r="C1061" s="7">
        <f>IFERROR(__xludf.DUMMYFUNCTION("""COMPUTED_VALUE"""),2025.0)</f>
        <v>2025</v>
      </c>
      <c r="D1061" s="8" t="str">
        <f>IFERROR(__xludf.DUMMYFUNCTION("""COMPUTED_VALUE"""),"2024/2025")</f>
        <v>2024/2025</v>
      </c>
      <c r="E1061" s="9">
        <f>IFERROR(__xludf.DUMMYFUNCTION("""COMPUTED_VALUE"""),45808.0)</f>
        <v>45808</v>
      </c>
      <c r="F1061" s="5" t="str">
        <f>IFERROR(__xludf.DUMMYFUNCTION("""COMPUTED_VALUE"""),"Genap")</f>
        <v>Genap</v>
      </c>
      <c r="G1061" s="5" t="str">
        <f>IFERROR(__xludf.DUMMYFUNCTION("""COMPUTED_VALUE"""),"Akuntansi")</f>
        <v>Akuntansi</v>
      </c>
      <c r="H1061" s="10" t="str">
        <f>IFERROR(__xludf.DUMMYFUNCTION("""COMPUTED_VALUE"""),"Dosen")</f>
        <v>Dosen</v>
      </c>
      <c r="I1061" s="6" t="str">
        <f>IFERROR(__xludf.DUMMYFUNCTION("""COMPUTED_VALUE"""),"Arif Farida")</f>
        <v>Arif Farida</v>
      </c>
      <c r="J1061" s="6" t="str">
        <f>IFERROR(__xludf.DUMMYFUNCTION("""COMPUTED_VALUE"""),"Ari Susanti")</f>
        <v>Ari Susanti</v>
      </c>
      <c r="K1061" s="6"/>
      <c r="L1061" s="6"/>
      <c r="M1061" s="6"/>
      <c r="N1061" s="6"/>
      <c r="O1061" s="6"/>
      <c r="P1061" s="10" t="str">
        <f>IFERROR(__xludf.DUMMYFUNCTION("""COMPUTED_VALUE"""),"Arif Farida, Ari Susanti")</f>
        <v>Arif Farida, Ari Susanti</v>
      </c>
      <c r="Q1061" s="11" t="str">
        <f>IFERROR(__xludf.DUMMYFUNCTION("""COMPUTED_VALUE"""),"https://jurnal.stie-aas.ac.id/index.php/jap/article/view/17322")</f>
        <v>https://jurnal.stie-aas.ac.id/index.php/jap/article/view/17322</v>
      </c>
      <c r="R1061" s="6"/>
    </row>
    <row r="1062">
      <c r="A1062" s="5">
        <f>IFERROR(__xludf.DUMMYFUNCTION("""COMPUTED_VALUE"""),1061.0)</f>
        <v>1061</v>
      </c>
      <c r="B1062" s="6" t="str">
        <f>IFERROR(__xludf.DUMMYFUNCTION("""COMPUTED_VALUE"""),"Analisis Perbandingan Rasio Likuiditas, Solvabilitas dan Profitabilitas Sebelum dan Setelah MUI Mengeluarkan Fatwa Boikot pada Perusahaan yang Terafiliasi Israel dan Terdaftar di Bursa Efek Indonesia")</f>
        <v>Analisis Perbandingan Rasio Likuiditas, Solvabilitas dan Profitabilitas Sebelum dan Setelah MUI Mengeluarkan Fatwa Boikot pada Perusahaan yang Terafiliasi Israel dan Terdaftar di Bursa Efek Indonesia</v>
      </c>
      <c r="C1062" s="7">
        <f>IFERROR(__xludf.DUMMYFUNCTION("""COMPUTED_VALUE"""),2025.0)</f>
        <v>2025</v>
      </c>
      <c r="D1062" s="8" t="str">
        <f>IFERROR(__xludf.DUMMYFUNCTION("""COMPUTED_VALUE"""),"2024/2025")</f>
        <v>2024/2025</v>
      </c>
      <c r="E1062" s="9">
        <f>IFERROR(__xludf.DUMMYFUNCTION("""COMPUTED_VALUE"""),45806.0)</f>
        <v>45806</v>
      </c>
      <c r="F1062" s="5" t="str">
        <f>IFERROR(__xludf.DUMMYFUNCTION("""COMPUTED_VALUE"""),"Genap")</f>
        <v>Genap</v>
      </c>
      <c r="G1062" s="5" t="str">
        <f>IFERROR(__xludf.DUMMYFUNCTION("""COMPUTED_VALUE"""),"Akuntansi")</f>
        <v>Akuntansi</v>
      </c>
      <c r="H1062" s="10" t="str">
        <f>IFERROR(__xludf.DUMMYFUNCTION("""COMPUTED_VALUE"""),"Mahasiswa")</f>
        <v>Mahasiswa</v>
      </c>
      <c r="I1062" s="6" t="str">
        <f>IFERROR(__xludf.DUMMYFUNCTION("""COMPUTED_VALUE"""),"Rani Randiyana")</f>
        <v>Rani Randiyana</v>
      </c>
      <c r="J1062" s="6" t="str">
        <f>IFERROR(__xludf.DUMMYFUNCTION("""COMPUTED_VALUE"""),"Eko Triyanto")</f>
        <v>Eko Triyanto</v>
      </c>
      <c r="K1062" s="6"/>
      <c r="L1062" s="6"/>
      <c r="M1062" s="6"/>
      <c r="N1062" s="6"/>
      <c r="O1062" s="6"/>
      <c r="P1062" s="10" t="str">
        <f>IFERROR(__xludf.DUMMYFUNCTION("""COMPUTED_VALUE"""),"Rani Randiyana, Eko Triyanto")</f>
        <v>Rani Randiyana, Eko Triyanto</v>
      </c>
      <c r="Q1062" s="11" t="str">
        <f>IFERROR(__xludf.DUMMYFUNCTION("""COMPUTED_VALUE"""),"https://jurnal.ugm.ac.id/abis/article/view/105176")</f>
        <v>https://jurnal.ugm.ac.id/abis/article/view/105176</v>
      </c>
      <c r="R1062" s="6"/>
    </row>
    <row r="1063">
      <c r="A1063" s="5">
        <f>IFERROR(__xludf.DUMMYFUNCTION("""COMPUTED_VALUE"""),1062.0)</f>
        <v>1062</v>
      </c>
      <c r="B1063" s="6" t="str">
        <f>IFERROR(__xludf.DUMMYFUNCTION("""COMPUTED_VALUE"""),"Increasing the Accuracy of Determining Activity-Based Services Tariffs for Central Surgical Installation (Case at the BLUD Hospital in Indonesia)")</f>
        <v>Increasing the Accuracy of Determining Activity-Based Services Tariffs for Central Surgical Installation (Case at the BLUD Hospital in Indonesia)</v>
      </c>
      <c r="C1063" s="7">
        <f>IFERROR(__xludf.DUMMYFUNCTION("""COMPUTED_VALUE"""),2025.0)</f>
        <v>2025</v>
      </c>
      <c r="D1063" s="8" t="str">
        <f>IFERROR(__xludf.DUMMYFUNCTION("""COMPUTED_VALUE"""),"2024/2025")</f>
        <v>2024/2025</v>
      </c>
      <c r="E1063" s="9">
        <f>IFERROR(__xludf.DUMMYFUNCTION("""COMPUTED_VALUE"""),45782.0)</f>
        <v>45782</v>
      </c>
      <c r="F1063" s="5" t="str">
        <f>IFERROR(__xludf.DUMMYFUNCTION("""COMPUTED_VALUE"""),"Genap")</f>
        <v>Genap</v>
      </c>
      <c r="G1063" s="5" t="str">
        <f>IFERROR(__xludf.DUMMYFUNCTION("""COMPUTED_VALUE"""),"Akuntansi")</f>
        <v>Akuntansi</v>
      </c>
      <c r="H1063" s="10" t="str">
        <f>IFERROR(__xludf.DUMMYFUNCTION("""COMPUTED_VALUE"""),"Dosen")</f>
        <v>Dosen</v>
      </c>
      <c r="I1063" s="6" t="str">
        <f>IFERROR(__xludf.DUMMYFUNCTION("""COMPUTED_VALUE"""),"Yunan Najamuddin")</f>
        <v>Yunan Najamuddin</v>
      </c>
      <c r="J1063" s="6" t="str">
        <f>IFERROR(__xludf.DUMMYFUNCTION("""COMPUTED_VALUE"""),"Dekar Urumsah")</f>
        <v>Dekar Urumsah</v>
      </c>
      <c r="K1063" s="6" t="str">
        <f>IFERROR(__xludf.DUMMYFUNCTION("""COMPUTED_VALUE"""),"Mahmudi")</f>
        <v>Mahmudi</v>
      </c>
      <c r="L1063" s="6" t="str">
        <f>IFERROR(__xludf.DUMMYFUNCTION("""COMPUTED_VALUE"""),"Reni Yendrawati")</f>
        <v>Reni Yendrawati</v>
      </c>
      <c r="M1063" s="6" t="str">
        <f>IFERROR(__xludf.DUMMYFUNCTION("""COMPUTED_VALUE"""),"Novi Dwi Rugiarti")</f>
        <v>Novi Dwi Rugiarti</v>
      </c>
      <c r="N1063" s="6" t="str">
        <f>IFERROR(__xludf.DUMMYFUNCTION("""COMPUTED_VALUE"""),"Raden Teduh Dirgahayu")</f>
        <v>Raden Teduh Dirgahayu</v>
      </c>
      <c r="O1063" s="6" t="str">
        <f>IFERROR(__xludf.DUMMYFUNCTION("""COMPUTED_VALUE"""),"Asri Dwi Ariyani")</f>
        <v>Asri Dwi Ariyani</v>
      </c>
      <c r="P1063" s="10" t="str">
        <f>IFERROR(__xludf.DUMMYFUNCTION("""COMPUTED_VALUE"""),"Yunan Najamuddin, Dekar Urumsah, Mahmudi, Reni Yendrawati, Novi Dwi Rugiarti, Raden Teduh Dirgahayu, Asri Dwi Ariyani, Avininda Dewi Nindiasari, Rosita")</f>
        <v>Yunan Najamuddin, Dekar Urumsah, Mahmudi, Reni Yendrawati, Novi Dwi Rugiarti, Raden Teduh Dirgahayu, Asri Dwi Ariyani, Avininda Dewi Nindiasari, Rosita</v>
      </c>
      <c r="Q1063" s="11" t="str">
        <f>IFERROR(__xludf.DUMMYFUNCTION("""COMPUTED_VALUE"""),"https://journal.uii.ac.id/JAMALI/article/view/36531")</f>
        <v>https://journal.uii.ac.id/JAMALI/article/view/36531</v>
      </c>
      <c r="R1063" s="6"/>
    </row>
    <row r="1064">
      <c r="A1064" s="5">
        <f>IFERROR(__xludf.DUMMYFUNCTION("""COMPUTED_VALUE"""),1063.0)</f>
        <v>1063</v>
      </c>
      <c r="B1064" s="6" t="str">
        <f>IFERROR(__xludf.DUMMYFUNCTION("""COMPUTED_VALUE"""),"Peran Pengetahuan Perpajakan dan Religiusitas Terhadap Kepatuhan Wajib Pajak pada Usaha Mikro dan Kecil")</f>
        <v>Peran Pengetahuan Perpajakan dan Religiusitas Terhadap Kepatuhan Wajib Pajak pada Usaha Mikro dan Kecil</v>
      </c>
      <c r="C1064" s="7">
        <f>IFERROR(__xludf.DUMMYFUNCTION("""COMPUTED_VALUE"""),2025.0)</f>
        <v>2025</v>
      </c>
      <c r="D1064" s="8" t="str">
        <f>IFERROR(__xludf.DUMMYFUNCTION("""COMPUTED_VALUE"""),"2024/2025")</f>
        <v>2024/2025</v>
      </c>
      <c r="E1064" s="9">
        <f>IFERROR(__xludf.DUMMYFUNCTION("""COMPUTED_VALUE"""),45741.0)</f>
        <v>45741</v>
      </c>
      <c r="F1064" s="5" t="str">
        <f>IFERROR(__xludf.DUMMYFUNCTION("""COMPUTED_VALUE"""),"Genap")</f>
        <v>Genap</v>
      </c>
      <c r="G1064" s="5" t="str">
        <f>IFERROR(__xludf.DUMMYFUNCTION("""COMPUTED_VALUE"""),"Akuntansi")</f>
        <v>Akuntansi</v>
      </c>
      <c r="H1064" s="10" t="str">
        <f>IFERROR(__xludf.DUMMYFUNCTION("""COMPUTED_VALUE"""),"Dosen")</f>
        <v>Dosen</v>
      </c>
      <c r="I1064" s="6" t="str">
        <f>IFERROR(__xludf.DUMMYFUNCTION("""COMPUTED_VALUE"""),"Muhammad Kais")</f>
        <v>Muhammad Kais</v>
      </c>
      <c r="J1064" s="6" t="str">
        <f>IFERROR(__xludf.DUMMYFUNCTION("""COMPUTED_VALUE"""),"Dekar Urumsah")</f>
        <v>Dekar Urumsah</v>
      </c>
      <c r="K1064" s="6" t="str">
        <f>IFERROR(__xludf.DUMMYFUNCTION("""COMPUTED_VALUE"""),"Rosita")</f>
        <v>Rosita</v>
      </c>
      <c r="L1064" s="6"/>
      <c r="M1064" s="6"/>
      <c r="N1064" s="6"/>
      <c r="O1064" s="6"/>
      <c r="P1064" s="10" t="str">
        <f>IFERROR(__xludf.DUMMYFUNCTION("""COMPUTED_VALUE"""),"Muhammad Kais, Dekar Urumsah, Rosita")</f>
        <v>Muhammad Kais, Dekar Urumsah, Rosita</v>
      </c>
      <c r="Q1064" s="11" t="str">
        <f>IFERROR(__xludf.DUMMYFUNCTION("""COMPUTED_VALUE"""),"https://jab.fe.uns.ac.id/index.php/jab/article/view/1314")</f>
        <v>https://jab.fe.uns.ac.id/index.php/jab/article/view/1314</v>
      </c>
      <c r="R1064" s="6"/>
    </row>
    <row r="1065">
      <c r="A1065" s="5">
        <f>IFERROR(__xludf.DUMMYFUNCTION("""COMPUTED_VALUE"""),1064.0)</f>
        <v>1064</v>
      </c>
      <c r="B1065" s="6" t="str">
        <f>IFERROR(__xludf.DUMMYFUNCTION("""COMPUTED_VALUE"""),"Isu Riset Akuntansi Sektor Publik dan Pemerintahan, Pendekatan Inovatif  dan Isue Terkini
")</f>
        <v>Isu Riset Akuntansi Sektor Publik dan Pemerintahan, Pendekatan Inovatif  dan Isue Terkini
</v>
      </c>
      <c r="C1065" s="7">
        <f>IFERROR(__xludf.DUMMYFUNCTION("""COMPUTED_VALUE"""),2025.0)</f>
        <v>2025</v>
      </c>
      <c r="D1065" s="8" t="str">
        <f>IFERROR(__xludf.DUMMYFUNCTION("""COMPUTED_VALUE"""),"2024/2025")</f>
        <v>2024/2025</v>
      </c>
      <c r="E1065" s="9">
        <f>IFERROR(__xludf.DUMMYFUNCTION("""COMPUTED_VALUE"""),45883.0)</f>
        <v>45883</v>
      </c>
      <c r="F1065" s="5" t="str">
        <f>IFERROR(__xludf.DUMMYFUNCTION("""COMPUTED_VALUE"""),"Genap")</f>
        <v>Genap</v>
      </c>
      <c r="G1065" s="5" t="str">
        <f>IFERROR(__xludf.DUMMYFUNCTION("""COMPUTED_VALUE"""),"Akuntansi")</f>
        <v>Akuntansi</v>
      </c>
      <c r="H1065" s="10" t="str">
        <f>IFERROR(__xludf.DUMMYFUNCTION("""COMPUTED_VALUE"""),"Dosen")</f>
        <v>Dosen</v>
      </c>
      <c r="I1065" s="6" t="str">
        <f>IFERROR(__xludf.DUMMYFUNCTION("""COMPUTED_VALUE"""),"Rosita")</f>
        <v>Rosita</v>
      </c>
      <c r="J1065" s="6"/>
      <c r="K1065" s="6"/>
      <c r="L1065" s="6"/>
      <c r="M1065" s="6"/>
      <c r="N1065" s="6"/>
      <c r="O1065" s="6"/>
      <c r="P1065" s="10"/>
      <c r="Q1065" s="6"/>
      <c r="R1065" s="6"/>
    </row>
    <row r="1066">
      <c r="A1066" s="5">
        <f>IFERROR(__xludf.DUMMYFUNCTION("""COMPUTED_VALUE"""),1065.0)</f>
        <v>1065</v>
      </c>
      <c r="B1066" s="6" t="str">
        <f>IFERROR(__xludf.DUMMYFUNCTION("""COMPUTED_VALUE"""),"Akuntansi Sektor Publik")</f>
        <v>Akuntansi Sektor Publik</v>
      </c>
      <c r="C1066" s="7">
        <f>IFERROR(__xludf.DUMMYFUNCTION("""COMPUTED_VALUE"""),2025.0)</f>
        <v>2025</v>
      </c>
      <c r="D1066" s="8" t="str">
        <f>IFERROR(__xludf.DUMMYFUNCTION("""COMPUTED_VALUE"""),"2024/2025")</f>
        <v>2024/2025</v>
      </c>
      <c r="E1066" s="9">
        <f>IFERROR(__xludf.DUMMYFUNCTION("""COMPUTED_VALUE"""),45858.0)</f>
        <v>45858</v>
      </c>
      <c r="F1066" s="5" t="str">
        <f>IFERROR(__xludf.DUMMYFUNCTION("""COMPUTED_VALUE"""),"Genap")</f>
        <v>Genap</v>
      </c>
      <c r="G1066" s="5" t="str">
        <f>IFERROR(__xludf.DUMMYFUNCTION("""COMPUTED_VALUE"""),"Akuntansi")</f>
        <v>Akuntansi</v>
      </c>
      <c r="H1066" s="10" t="str">
        <f>IFERROR(__xludf.DUMMYFUNCTION("""COMPUTED_VALUE"""),"Dosen")</f>
        <v>Dosen</v>
      </c>
      <c r="I1066" s="6" t="str">
        <f>IFERROR(__xludf.DUMMYFUNCTION("""COMPUTED_VALUE"""),"Arif Nugroho Rachman")</f>
        <v>Arif Nugroho Rachman</v>
      </c>
      <c r="J1066" s="6"/>
      <c r="K1066" s="6"/>
      <c r="L1066" s="6"/>
      <c r="M1066" s="6"/>
      <c r="N1066" s="6"/>
      <c r="O1066" s="6"/>
      <c r="P1066" s="10"/>
      <c r="Q1066" s="6"/>
      <c r="R1066" s="6"/>
    </row>
    <row r="1067">
      <c r="A1067" s="5">
        <f>IFERROR(__xludf.DUMMYFUNCTION("""COMPUTED_VALUE"""),1066.0)</f>
        <v>1066</v>
      </c>
      <c r="B1067" s="6" t="str">
        <f>IFERROR(__xludf.DUMMYFUNCTION("""COMPUTED_VALUE"""),"Auditing : Transformasi dan Inovasi di Era Digital")</f>
        <v>Auditing : Transformasi dan Inovasi di Era Digital</v>
      </c>
      <c r="C1067" s="7">
        <f>IFERROR(__xludf.DUMMYFUNCTION("""COMPUTED_VALUE"""),2025.0)</f>
        <v>2025</v>
      </c>
      <c r="D1067" s="8" t="str">
        <f>IFERROR(__xludf.DUMMYFUNCTION("""COMPUTED_VALUE"""),"2024/2025")</f>
        <v>2024/2025</v>
      </c>
      <c r="E1067" s="9">
        <f>IFERROR(__xludf.DUMMYFUNCTION("""COMPUTED_VALUE"""),45777.0)</f>
        <v>45777</v>
      </c>
      <c r="F1067" s="5" t="str">
        <f>IFERROR(__xludf.DUMMYFUNCTION("""COMPUTED_VALUE"""),"Genap")</f>
        <v>Genap</v>
      </c>
      <c r="G1067" s="5" t="str">
        <f>IFERROR(__xludf.DUMMYFUNCTION("""COMPUTED_VALUE"""),"Akuntansi")</f>
        <v>Akuntansi</v>
      </c>
      <c r="H1067" s="10" t="str">
        <f>IFERROR(__xludf.DUMMYFUNCTION("""COMPUTED_VALUE"""),"Dosen")</f>
        <v>Dosen</v>
      </c>
      <c r="I1067" s="6" t="str">
        <f>IFERROR(__xludf.DUMMYFUNCTION("""COMPUTED_VALUE"""),"Era Trianita Saputra")</f>
        <v>Era Trianita Saputra</v>
      </c>
      <c r="J1067" s="6"/>
      <c r="K1067" s="6"/>
      <c r="L1067" s="6"/>
      <c r="M1067" s="6"/>
      <c r="N1067" s="6"/>
      <c r="O1067" s="6"/>
      <c r="P1067" s="10"/>
      <c r="Q1067" s="11" t="str">
        <f>IFERROR(__xludf.DUMMYFUNCTION("""COMPUTED_VALUE"""),"https://penerbiteureka.com/2025/05/14/auditing-transformasi-dan-inovasi-di-era-digital/")</f>
        <v>https://penerbiteureka.com/2025/05/14/auditing-transformasi-dan-inovasi-di-era-digital/</v>
      </c>
      <c r="R1067" s="11" t="str">
        <f>IFERROR(__xludf.DUMMYFUNCTION("""COMPUTED_VALUE"""),"https://repository.penerbiteureka.com/media/publications/618822-auditing-transformasi-dan-inovasi-di-era-fc75d303.pdf?utm_source=chatgpt.com")</f>
        <v>https://repository.penerbiteureka.com/media/publications/618822-auditing-transformasi-dan-inovasi-di-era-fc75d303.pdf?utm_source=chatgpt.com</v>
      </c>
    </row>
    <row r="1068">
      <c r="A1068" s="5">
        <f>IFERROR(__xludf.DUMMYFUNCTION("""COMPUTED_VALUE"""),1067.0)</f>
        <v>1067</v>
      </c>
      <c r="B1068" s="6" t="str">
        <f>IFERROR(__xludf.DUMMYFUNCTION("""COMPUTED_VALUE"""),"Akuntansi Manajemen")</f>
        <v>Akuntansi Manajemen</v>
      </c>
      <c r="C1068" s="7">
        <f>IFERROR(__xludf.DUMMYFUNCTION("""COMPUTED_VALUE"""),2025.0)</f>
        <v>2025</v>
      </c>
      <c r="D1068" s="8" t="str">
        <f>IFERROR(__xludf.DUMMYFUNCTION("""COMPUTED_VALUE"""),"2024/2025")</f>
        <v>2024/2025</v>
      </c>
      <c r="E1068" s="9">
        <f>IFERROR(__xludf.DUMMYFUNCTION("""COMPUTED_VALUE"""),45747.0)</f>
        <v>45747</v>
      </c>
      <c r="F1068" s="5" t="str">
        <f>IFERROR(__xludf.DUMMYFUNCTION("""COMPUTED_VALUE"""),"Genap")</f>
        <v>Genap</v>
      </c>
      <c r="G1068" s="5" t="str">
        <f>IFERROR(__xludf.DUMMYFUNCTION("""COMPUTED_VALUE"""),"Akuntansi")</f>
        <v>Akuntansi</v>
      </c>
      <c r="H1068" s="10" t="str">
        <f>IFERROR(__xludf.DUMMYFUNCTION("""COMPUTED_VALUE"""),"Dosen")</f>
        <v>Dosen</v>
      </c>
      <c r="I1068" s="6" t="str">
        <f>IFERROR(__xludf.DUMMYFUNCTION("""COMPUTED_VALUE"""),"Era Trianita Saputra")</f>
        <v>Era Trianita Saputra</v>
      </c>
      <c r="J1068" s="6"/>
      <c r="K1068" s="6"/>
      <c r="L1068" s="6"/>
      <c r="M1068" s="6"/>
      <c r="N1068" s="6"/>
      <c r="O1068" s="6"/>
      <c r="P1068" s="10"/>
      <c r="Q1068" s="11" t="str">
        <f>IFERROR(__xludf.DUMMYFUNCTION("""COMPUTED_VALUE"""),"https://repository.penerbiteureka.com/media/publications/610870-akuntansi-manajemen-6ebba321.pdf?utm_source=chatgpt.com")</f>
        <v>https://repository.penerbiteureka.com/media/publications/610870-akuntansi-manajemen-6ebba321.pdf?utm_source=chatgpt.com</v>
      </c>
      <c r="R1068" s="6"/>
    </row>
    <row r="1069">
      <c r="A1069" s="5">
        <f>IFERROR(__xludf.DUMMYFUNCTION("""COMPUTED_VALUE"""),1068.0)</f>
        <v>1068</v>
      </c>
      <c r="B1069" s="6" t="str">
        <f>IFERROR(__xludf.DUMMYFUNCTION("""COMPUTED_VALUE"""),"Socio-Economic and Humanistic Aspects for Township and Industry")</f>
        <v>Socio-Economic and Humanistic Aspects for Township and Industry</v>
      </c>
      <c r="C1069" s="7">
        <f>IFERROR(__xludf.DUMMYFUNCTION("""COMPUTED_VALUE"""),2025.0)</f>
        <v>2025</v>
      </c>
      <c r="D1069" s="8" t="str">
        <f>IFERROR(__xludf.DUMMYFUNCTION("""COMPUTED_VALUE"""),"2024/2025")</f>
        <v>2024/2025</v>
      </c>
      <c r="E1069" s="9">
        <f>IFERROR(__xludf.DUMMYFUNCTION("""COMPUTED_VALUE"""),45711.0)</f>
        <v>45711</v>
      </c>
      <c r="F1069" s="5" t="str">
        <f>IFERROR(__xludf.DUMMYFUNCTION("""COMPUTED_VALUE"""),"Ganjil")</f>
        <v>Ganjil</v>
      </c>
      <c r="G1069" s="5" t="str">
        <f>IFERROR(__xludf.DUMMYFUNCTION("""COMPUTED_VALUE"""),"Akuntansi")</f>
        <v>Akuntansi</v>
      </c>
      <c r="H1069" s="10" t="str">
        <f>IFERROR(__xludf.DUMMYFUNCTION("""COMPUTED_VALUE"""),"Dosen")</f>
        <v>Dosen</v>
      </c>
      <c r="I1069" s="6" t="str">
        <f>IFERROR(__xludf.DUMMYFUNCTION("""COMPUTED_VALUE"""),"Dika Puspitaningrum")</f>
        <v>Dika Puspitaningrum</v>
      </c>
      <c r="J1069" s="6"/>
      <c r="K1069" s="6"/>
      <c r="L1069" s="6"/>
      <c r="M1069" s="6"/>
      <c r="N1069" s="6"/>
      <c r="O1069" s="6"/>
      <c r="P1069" s="10" t="str">
        <f>IFERROR(__xludf.DUMMYFUNCTION("""COMPUTED_VALUE"""),"Dika Puspitaningrum")</f>
        <v>Dika Puspitaningrum</v>
      </c>
      <c r="Q1069" s="11" t="str">
        <f>IFERROR(__xludf.DUMMYFUNCTION("""COMPUTED_VALUE"""),"http://jurnal.tintaemas.id/index.php/sehati/article/view/465")</f>
        <v>http://jurnal.tintaemas.id/index.php/sehati/article/view/465</v>
      </c>
      <c r="R1069" s="6"/>
    </row>
    <row r="1070">
      <c r="A1070" s="5">
        <f>IFERROR(__xludf.DUMMYFUNCTION("""COMPUTED_VALUE"""),1069.0)</f>
        <v>1069</v>
      </c>
      <c r="B1070" s="6" t="str">
        <f>IFERROR(__xludf.DUMMYFUNCTION("""COMPUTED_VALUE"""),"Pengaruh Sistem Informasi Akuntansi, Kinerja Pegawai, dan Lama Usaha Terhadap Kualitas Laporan Keuangan (Studi Kasus Pada UMKM Sektor Fashion dan Kerajinan di Surakarta)")</f>
        <v>Pengaruh Sistem Informasi Akuntansi, Kinerja Pegawai, dan Lama Usaha Terhadap Kualitas Laporan Keuangan (Studi Kasus Pada UMKM Sektor Fashion dan Kerajinan di Surakarta)</v>
      </c>
      <c r="C1070" s="7" t="str">
        <f>IFERROR(__xludf.DUMMYFUNCTION("""COMPUTED_VALUE"""),"2025")</f>
        <v>2025</v>
      </c>
      <c r="D1070" s="5" t="str">
        <f>IFERROR(__xludf.DUMMYFUNCTION("""COMPUTED_VALUE"""),"2025/2026")</f>
        <v>2025/2026</v>
      </c>
      <c r="E1070" s="9">
        <f>IFERROR(__xludf.DUMMYFUNCTION("""COMPUTED_VALUE"""),45959.0)</f>
        <v>45959</v>
      </c>
      <c r="F1070" s="5" t="str">
        <f>IFERROR(__xludf.DUMMYFUNCTION("""COMPUTED_VALUE"""),"Ganjil")</f>
        <v>Ganjil</v>
      </c>
      <c r="G1070" s="5" t="str">
        <f>IFERROR(__xludf.DUMMYFUNCTION("""COMPUTED_VALUE"""),"Akuntansi")</f>
        <v>Akuntansi</v>
      </c>
      <c r="H1070" s="10" t="str">
        <f>IFERROR(__xludf.DUMMYFUNCTION("""COMPUTED_VALUE"""),"Mahasiswa")</f>
        <v>Mahasiswa</v>
      </c>
      <c r="I1070" s="6" t="str">
        <f>IFERROR(__xludf.DUMMYFUNCTION("""COMPUTED_VALUE"""),"Anindya Pramitasari")</f>
        <v>Anindya Pramitasari</v>
      </c>
      <c r="J1070" s="6" t="str">
        <f>IFERROR(__xludf.DUMMYFUNCTION("""COMPUTED_VALUE"""),"Era Trianita Saputra")</f>
        <v>Era Trianita Saputra</v>
      </c>
      <c r="K1070" s="6"/>
      <c r="L1070" s="6"/>
      <c r="M1070" s="6"/>
      <c r="N1070" s="6"/>
      <c r="O1070" s="6"/>
      <c r="P1070" s="10" t="str">
        <f>IFERROR(__xludf.DUMMYFUNCTION("""COMPUTED_VALUE"""),"Anindya Pramitasari, Era Trianita Saputra")</f>
        <v>Anindya Pramitasari, Era Trianita Saputra</v>
      </c>
      <c r="Q1070" s="11" t="str">
        <f>IFERROR(__xludf.DUMMYFUNCTION("""COMPUTED_VALUE"""),"https://repository.stiesurakarta.ac.id/submission/fdc61e36-5cb6-4e7e-a322-73cb90bc3522")</f>
        <v>https://repository.stiesurakarta.ac.id/submission/fdc61e36-5cb6-4e7e-a322-73cb90bc3522</v>
      </c>
      <c r="R1070" s="6"/>
    </row>
    <row r="1071">
      <c r="A1071" s="5">
        <f>IFERROR(__xludf.DUMMYFUNCTION("""COMPUTED_VALUE"""),1070.0)</f>
        <v>1070</v>
      </c>
      <c r="B1071" s="6" t="str">
        <f>IFERROR(__xludf.DUMMYFUNCTION("""COMPUTED_VALUE"""),"PENGARUH KUALITAS PELAYANAN,KERAGAMAN MENU DAN ASPEK SUASANA TERHADAP KEPUASAAN PELANGGAN DI HOTWAY’S CHICKEN PENUMPING""")</f>
        <v>PENGARUH KUALITAS PELAYANAN,KERAGAMAN MENU DAN ASPEK SUASANA TERHADAP KEPUASAAN PELANGGAN DI HOTWAY’S CHICKEN PENUMPING"</v>
      </c>
      <c r="C1071" s="7" t="str">
        <f>IFERROR(__xludf.DUMMYFUNCTION("""COMPUTED_VALUE"""),"2025")</f>
        <v>2025</v>
      </c>
      <c r="D1071" s="5" t="str">
        <f>IFERROR(__xludf.DUMMYFUNCTION("""COMPUTED_VALUE"""),"2025/2026")</f>
        <v>2025/2026</v>
      </c>
      <c r="E1071" s="9">
        <f>IFERROR(__xludf.DUMMYFUNCTION("""COMPUTED_VALUE"""),45939.0)</f>
        <v>45939</v>
      </c>
      <c r="F1071" s="5" t="str">
        <f>IFERROR(__xludf.DUMMYFUNCTION("""COMPUTED_VALUE"""),"Ganjil")</f>
        <v>Ganjil</v>
      </c>
      <c r="G1071" s="5" t="str">
        <f>IFERROR(__xludf.DUMMYFUNCTION("""COMPUTED_VALUE"""),"Akuntansi")</f>
        <v>Akuntansi</v>
      </c>
      <c r="H1071" s="10" t="str">
        <f>IFERROR(__xludf.DUMMYFUNCTION("""COMPUTED_VALUE"""),"Mahasiswa")</f>
        <v>Mahasiswa</v>
      </c>
      <c r="I1071" s="6" t="str">
        <f>IFERROR(__xludf.DUMMYFUNCTION("""COMPUTED_VALUE"""),"Desvita Dela Safitri")</f>
        <v>Desvita Dela Safitri</v>
      </c>
      <c r="J1071" s="6" t="str">
        <f>IFERROR(__xludf.DUMMYFUNCTION("""COMPUTED_VALUE"""),"Dianing Widya Kusumastuti")</f>
        <v>Dianing Widya Kusumastuti</v>
      </c>
      <c r="K1071" s="6"/>
      <c r="L1071" s="6"/>
      <c r="M1071" s="6"/>
      <c r="N1071" s="6"/>
      <c r="O1071" s="6"/>
      <c r="P1071" s="10" t="str">
        <f>IFERROR(__xludf.DUMMYFUNCTION("""COMPUTED_VALUE"""),"Desvita Dela Safitri, Dianing Widya Kusumastuti")</f>
        <v>Desvita Dela Safitri, Dianing Widya Kusumastuti</v>
      </c>
      <c r="Q1071" s="11" t="str">
        <f>IFERROR(__xludf.DUMMYFUNCTION("""COMPUTED_VALUE"""),"https://jurnal.mediaakademik.com/index.php/jma/article/view/2912#")</f>
        <v>https://jurnal.mediaakademik.com/index.php/jma/article/view/2912#</v>
      </c>
      <c r="R1071" s="6"/>
    </row>
    <row r="1072">
      <c r="A1072" s="5">
        <f>IFERROR(__xludf.DUMMYFUNCTION("""COMPUTED_VALUE"""),1071.0)</f>
        <v>1071</v>
      </c>
      <c r="B1072" s="6" t="str">
        <f>IFERROR(__xludf.DUMMYFUNCTION("""COMPUTED_VALUE"""),"Peranan Badan Perencanaan Pembangunan Riset dan Inovasi Daerah (BAPPERIDA) Kabupaten Sukoharjo dalam Penentuan Prioritas Hasil Usulan Musrenbang di Tingkat Kecamatan")</f>
        <v>Peranan Badan Perencanaan Pembangunan Riset dan Inovasi Daerah (BAPPERIDA) Kabupaten Sukoharjo dalam Penentuan Prioritas Hasil Usulan Musrenbang di Tingkat Kecamatan</v>
      </c>
      <c r="C1072" s="7" t="str">
        <f>IFERROR(__xludf.DUMMYFUNCTION("""COMPUTED_VALUE"""),"2025")</f>
        <v>2025</v>
      </c>
      <c r="D1072" s="5" t="str">
        <f>IFERROR(__xludf.DUMMYFUNCTION("""COMPUTED_VALUE"""),"2025/2026")</f>
        <v>2025/2026</v>
      </c>
      <c r="E1072" s="9">
        <f>IFERROR(__xludf.DUMMYFUNCTION("""COMPUTED_VALUE"""),45961.0)</f>
        <v>45961</v>
      </c>
      <c r="F1072" s="5" t="str">
        <f>IFERROR(__xludf.DUMMYFUNCTION("""COMPUTED_VALUE"""),"Ganjil")</f>
        <v>Ganjil</v>
      </c>
      <c r="G1072" s="5" t="str">
        <f>IFERROR(__xludf.DUMMYFUNCTION("""COMPUTED_VALUE"""),"Manajemen")</f>
        <v>Manajemen</v>
      </c>
      <c r="H1072" s="10" t="str">
        <f>IFERROR(__xludf.DUMMYFUNCTION("""COMPUTED_VALUE"""),"Mahasiswa")</f>
        <v>Mahasiswa</v>
      </c>
      <c r="I1072" s="6" t="str">
        <f>IFERROR(__xludf.DUMMYFUNCTION("""COMPUTED_VALUE"""),"Yahya Devi Ratnasari")</f>
        <v>Yahya Devi Ratnasari</v>
      </c>
      <c r="J1072" s="6" t="str">
        <f>IFERROR(__xludf.DUMMYFUNCTION("""COMPUTED_VALUE"""),"Sherena Wahyutari, S.Stat.")</f>
        <v>Sherena Wahyutari, S.Stat.</v>
      </c>
      <c r="K1072" s="6"/>
      <c r="L1072" s="6"/>
      <c r="M1072" s="6"/>
      <c r="N1072" s="6"/>
      <c r="O1072" s="6"/>
      <c r="P1072" s="10" t="str">
        <f>IFERROR(__xludf.DUMMYFUNCTION("""COMPUTED_VALUE"""),"Yahya Devi Ratnasari, Sherena Wahyutari")</f>
        <v>Yahya Devi Ratnasari, Sherena Wahyutari</v>
      </c>
      <c r="Q1072" s="11" t="str">
        <f>IFERROR(__xludf.DUMMYFUNCTION("""COMPUTED_VALUE"""),"https://ejournal.unhasy.ac.id/index.php/discovery/article/view/10459")</f>
        <v>https://ejournal.unhasy.ac.id/index.php/discovery/article/view/10459</v>
      </c>
      <c r="R1072" s="6"/>
    </row>
    <row r="1073">
      <c r="A1073" s="5">
        <f>IFERROR(__xludf.DUMMYFUNCTION("""COMPUTED_VALUE"""),1072.0)</f>
        <v>1072</v>
      </c>
      <c r="B1073" s="6" t="str">
        <f>IFERROR(__xludf.DUMMYFUNCTION("""COMPUTED_VALUE"""),"Pengaruh Realisasi Belanja Langsung dan Belanja Tidak Langsung Terhadap Efektivitas Kinerja Operasional Pemerintah Daerah (Studi Kasus: Dinas Perdagangan dan Perindustrian Kabupaten Boyolali Tahun 2024) """)</f>
        <v>Pengaruh Realisasi Belanja Langsung dan Belanja Tidak Langsung Terhadap Efektivitas Kinerja Operasional Pemerintah Daerah (Studi Kasus: Dinas Perdagangan dan Perindustrian Kabupaten Boyolali Tahun 2024) "</v>
      </c>
      <c r="C1073" s="7" t="str">
        <f>IFERROR(__xludf.DUMMYFUNCTION("""COMPUTED_VALUE"""),"2025")</f>
        <v>2025</v>
      </c>
      <c r="D1073" s="5" t="str">
        <f>IFERROR(__xludf.DUMMYFUNCTION("""COMPUTED_VALUE"""),"2025/2026")</f>
        <v>2025/2026</v>
      </c>
      <c r="E1073" s="9">
        <f>IFERROR(__xludf.DUMMYFUNCTION("""COMPUTED_VALUE"""),45961.0)</f>
        <v>45961</v>
      </c>
      <c r="F1073" s="5" t="str">
        <f>IFERROR(__xludf.DUMMYFUNCTION("""COMPUTED_VALUE"""),"Ganjil")</f>
        <v>Ganjil</v>
      </c>
      <c r="G1073" s="5" t="str">
        <f>IFERROR(__xludf.DUMMYFUNCTION("""COMPUTED_VALUE"""),"Manajemen")</f>
        <v>Manajemen</v>
      </c>
      <c r="H1073" s="10" t="str">
        <f>IFERROR(__xludf.DUMMYFUNCTION("""COMPUTED_VALUE"""),"Mahasiswa")</f>
        <v>Mahasiswa</v>
      </c>
      <c r="I1073" s="6" t="str">
        <f>IFERROR(__xludf.DUMMYFUNCTION("""COMPUTED_VALUE"""),"Della Sri Nurgitasari")</f>
        <v>Della Sri Nurgitasari</v>
      </c>
      <c r="J1073" s="6" t="str">
        <f>IFERROR(__xludf.DUMMYFUNCTION("""COMPUTED_VALUE"""),"Sherena Wahyutari, S.Stat.")</f>
        <v>Sherena Wahyutari, S.Stat.</v>
      </c>
      <c r="K1073" s="6"/>
      <c r="L1073" s="6"/>
      <c r="M1073" s="6"/>
      <c r="N1073" s="6"/>
      <c r="O1073" s="6"/>
      <c r="P1073" s="10" t="str">
        <f>IFERROR(__xludf.DUMMYFUNCTION("""COMPUTED_VALUE"""),"Della Sri Nurgitasari,  Sherena Wahyutari")</f>
        <v>Della Sri Nurgitasari,  Sherena Wahyutari</v>
      </c>
      <c r="Q1073" s="11" t="str">
        <f>IFERROR(__xludf.DUMMYFUNCTION("""COMPUTED_VALUE"""),"https://ejournal.unhasy.ac.id/index.php/discovery/article/view/10467")</f>
        <v>https://ejournal.unhasy.ac.id/index.php/discovery/article/view/10467</v>
      </c>
      <c r="R1073" s="6"/>
    </row>
    <row r="1074">
      <c r="A1074" s="5">
        <f>IFERROR(__xludf.DUMMYFUNCTION("""COMPUTED_VALUE"""),1073.0)</f>
        <v>1073</v>
      </c>
      <c r="B1074" s="6" t="str">
        <f>IFERROR(__xludf.DUMMYFUNCTION("""COMPUTED_VALUE"""),"Efektivitas Pengamanan Barang Milik Negara (BMN) Berupa Peralatan Kantor di Lembaga Penyiaran Publik Radio Republik Indonesia (LPP RRI) Surakarta")</f>
        <v>Efektivitas Pengamanan Barang Milik Negara (BMN) Berupa Peralatan Kantor di Lembaga Penyiaran Publik Radio Republik Indonesia (LPP RRI) Surakarta</v>
      </c>
      <c r="C1074" s="7" t="str">
        <f>IFERROR(__xludf.DUMMYFUNCTION("""COMPUTED_VALUE"""),"2025")</f>
        <v>2025</v>
      </c>
      <c r="D1074" s="5" t="str">
        <f>IFERROR(__xludf.DUMMYFUNCTION("""COMPUTED_VALUE"""),"2025/2026")</f>
        <v>2025/2026</v>
      </c>
      <c r="E1074" s="9">
        <f>IFERROR(__xludf.DUMMYFUNCTION("""COMPUTED_VALUE"""),45933.0)</f>
        <v>45933</v>
      </c>
      <c r="F1074" s="5" t="str">
        <f>IFERROR(__xludf.DUMMYFUNCTION("""COMPUTED_VALUE"""),"Ganjil")</f>
        <v>Ganjil</v>
      </c>
      <c r="G1074" s="5" t="str">
        <f>IFERROR(__xludf.DUMMYFUNCTION("""COMPUTED_VALUE"""),"Manajemen")</f>
        <v>Manajemen</v>
      </c>
      <c r="H1074" s="10" t="str">
        <f>IFERROR(__xludf.DUMMYFUNCTION("""COMPUTED_VALUE"""),"Mahasiswa")</f>
        <v>Mahasiswa</v>
      </c>
      <c r="I1074" s="6" t="str">
        <f>IFERROR(__xludf.DUMMYFUNCTION("""COMPUTED_VALUE"""),"Shephia Candra Prasiskasari")</f>
        <v>Shephia Candra Prasiskasari</v>
      </c>
      <c r="J1074" s="6" t="str">
        <f>IFERROR(__xludf.DUMMYFUNCTION("""COMPUTED_VALUE"""),"Dr. Budi Istiyanto, S.E., M.M., M.H.")</f>
        <v>Dr. Budi Istiyanto, S.E., M.M., M.H.</v>
      </c>
      <c r="K1074" s="6"/>
      <c r="L1074" s="6"/>
      <c r="M1074" s="6"/>
      <c r="N1074" s="6"/>
      <c r="O1074" s="6"/>
      <c r="P1074" s="10" t="str">
        <f>IFERROR(__xludf.DUMMYFUNCTION("""COMPUTED_VALUE"""),"Shephia Candra Prasiskasari, Budi Istiyanto")</f>
        <v>Shephia Candra Prasiskasari, Budi Istiyanto</v>
      </c>
      <c r="Q1074" s="11" t="str">
        <f>IFERROR(__xludf.DUMMYFUNCTION("""COMPUTED_VALUE"""),"https://ejurnal.politeknikpratama.ac.id/index.php/jekombis/article/view/5570")</f>
        <v>https://ejurnal.politeknikpratama.ac.id/index.php/jekombis/article/view/5570</v>
      </c>
      <c r="R1074" s="6"/>
    </row>
    <row r="1075">
      <c r="A1075" s="5">
        <f>IFERROR(__xludf.DUMMYFUNCTION("""COMPUTED_VALUE"""),1074.0)</f>
        <v>1074</v>
      </c>
      <c r="B1075" s="6" t="str">
        <f>IFERROR(__xludf.DUMMYFUNCTION("""COMPUTED_VALUE"""),"Pengaruh Suasana Lingkungan, Keramahan Tuan Rumah, Serta Aksesibilitas Lokasi Terhadap Minat Kunjungan Ulang Wisatawan di Homestay Gardu Pandang Selo")</f>
        <v>Pengaruh Suasana Lingkungan, Keramahan Tuan Rumah, Serta Aksesibilitas Lokasi Terhadap Minat Kunjungan Ulang Wisatawan di Homestay Gardu Pandang Selo</v>
      </c>
      <c r="C1075" s="7" t="str">
        <f>IFERROR(__xludf.DUMMYFUNCTION("""COMPUTED_VALUE"""),"2025")</f>
        <v>2025</v>
      </c>
      <c r="D1075" s="5" t="str">
        <f>IFERROR(__xludf.DUMMYFUNCTION("""COMPUTED_VALUE"""),"2025/2026")</f>
        <v>2025/2026</v>
      </c>
      <c r="E1075" s="9">
        <f>IFERROR(__xludf.DUMMYFUNCTION("""COMPUTED_VALUE"""),45953.0)</f>
        <v>45953</v>
      </c>
      <c r="F1075" s="5" t="str">
        <f>IFERROR(__xludf.DUMMYFUNCTION("""COMPUTED_VALUE"""),"Ganjil")</f>
        <v>Ganjil</v>
      </c>
      <c r="G1075" s="5" t="str">
        <f>IFERROR(__xludf.DUMMYFUNCTION("""COMPUTED_VALUE"""),"Manajemen")</f>
        <v>Manajemen</v>
      </c>
      <c r="H1075" s="10" t="str">
        <f>IFERROR(__xludf.DUMMYFUNCTION("""COMPUTED_VALUE"""),"Mahasiswa")</f>
        <v>Mahasiswa</v>
      </c>
      <c r="I1075" s="6" t="str">
        <f>IFERROR(__xludf.DUMMYFUNCTION("""COMPUTED_VALUE"""),"Melania Sintia Dewi")</f>
        <v>Melania Sintia Dewi</v>
      </c>
      <c r="J1075" s="6" t="str">
        <f>IFERROR(__xludf.DUMMYFUNCTION("""COMPUTED_VALUE"""),"Dr. Budi Istiyanto, S.E., M.M., M.H.")</f>
        <v>Dr. Budi Istiyanto, S.E., M.M., M.H.</v>
      </c>
      <c r="K1075" s="6"/>
      <c r="L1075" s="6"/>
      <c r="M1075" s="6"/>
      <c r="N1075" s="6"/>
      <c r="O1075" s="6"/>
      <c r="P1075" s="10" t="str">
        <f>IFERROR(__xludf.DUMMYFUNCTION("""COMPUTED_VALUE"""),"Melania Sintia Dewi, Budi Istiyanto")</f>
        <v>Melania Sintia Dewi, Budi Istiyanto</v>
      </c>
      <c r="Q1075" s="11" t="str">
        <f>IFERROR(__xludf.DUMMYFUNCTION("""COMPUTED_VALUE"""),"https://jurnal.itbsemarang.ac.id/index.php/JMBE/article/view/3585")</f>
        <v>https://jurnal.itbsemarang.ac.id/index.php/JMBE/article/view/3585</v>
      </c>
      <c r="R1075" s="6"/>
    </row>
    <row r="1076">
      <c r="A1076" s="5">
        <f>IFERROR(__xludf.DUMMYFUNCTION("""COMPUTED_VALUE"""),1075.0)</f>
        <v>1075</v>
      </c>
      <c r="B1076" s="6" t="str">
        <f>IFERROR(__xludf.DUMMYFUNCTION("""COMPUTED_VALUE"""),"Pengaruh Store Atmosphere, Service Quality, dan Perceived Value Terhadap Kepuasan Pelanggan Pada Restoran Mie Gacoan Di Wilayah Solo Raya")</f>
        <v>Pengaruh Store Atmosphere, Service Quality, dan Perceived Value Terhadap Kepuasan Pelanggan Pada Restoran Mie Gacoan Di Wilayah Solo Raya</v>
      </c>
      <c r="C1076" s="7" t="str">
        <f>IFERROR(__xludf.DUMMYFUNCTION("""COMPUTED_VALUE"""),"2025")</f>
        <v>2025</v>
      </c>
      <c r="D1076" s="5" t="str">
        <f>IFERROR(__xludf.DUMMYFUNCTION("""COMPUTED_VALUE"""),"2025/2026")</f>
        <v>2025/2026</v>
      </c>
      <c r="E1076" s="9">
        <f>IFERROR(__xludf.DUMMYFUNCTION("""COMPUTED_VALUE"""),45953.0)</f>
        <v>45953</v>
      </c>
      <c r="F1076" s="5" t="str">
        <f>IFERROR(__xludf.DUMMYFUNCTION("""COMPUTED_VALUE"""),"Ganjil")</f>
        <v>Ganjil</v>
      </c>
      <c r="G1076" s="5" t="str">
        <f>IFERROR(__xludf.DUMMYFUNCTION("""COMPUTED_VALUE"""),"Manajemen")</f>
        <v>Manajemen</v>
      </c>
      <c r="H1076" s="10" t="str">
        <f>IFERROR(__xludf.DUMMYFUNCTION("""COMPUTED_VALUE"""),"Mahasiswa")</f>
        <v>Mahasiswa</v>
      </c>
      <c r="I1076" s="6" t="str">
        <f>IFERROR(__xludf.DUMMYFUNCTION("""COMPUTED_VALUE"""),"Heni Wikasari")</f>
        <v>Heni Wikasari</v>
      </c>
      <c r="J1076" s="6" t="str">
        <f>IFERROR(__xludf.DUMMYFUNCTION("""COMPUTED_VALUE"""),"Ari Susanti")</f>
        <v>Ari Susanti</v>
      </c>
      <c r="K1076" s="6"/>
      <c r="L1076" s="6"/>
      <c r="M1076" s="6"/>
      <c r="N1076" s="6"/>
      <c r="O1076" s="6"/>
      <c r="P1076" s="10" t="str">
        <f>IFERROR(__xludf.DUMMYFUNCTION("""COMPUTED_VALUE"""),"Heni Wikasari, Ari Susanti")</f>
        <v>Heni Wikasari, Ari Susanti</v>
      </c>
      <c r="Q1076" s="11" t="str">
        <f>IFERROR(__xludf.DUMMYFUNCTION("""COMPUTED_VALUE"""),"https://jurnal.risetilmiah.ac.id/index.php/JAM/article/view/1126")</f>
        <v>https://jurnal.risetilmiah.ac.id/index.php/JAM/article/view/1126</v>
      </c>
      <c r="R1076" s="6"/>
    </row>
    <row r="1077">
      <c r="A1077" s="5">
        <f>IFERROR(__xludf.DUMMYFUNCTION("""COMPUTED_VALUE"""),1076.0)</f>
        <v>1076</v>
      </c>
      <c r="B1077" s="6" t="str">
        <f>IFERROR(__xludf.DUMMYFUNCTION("""COMPUTED_VALUE"""),"Analisis Kepatuhan Perpajakan PT Pandawa Wolu Pitu: Evaluasi Perhitungan, Pembayaran, Dan Pelaporan PPh Badan Tahun 2024")</f>
        <v>Analisis Kepatuhan Perpajakan PT Pandawa Wolu Pitu: Evaluasi Perhitungan, Pembayaran, Dan Pelaporan PPh Badan Tahun 2024</v>
      </c>
      <c r="C1077" s="7" t="str">
        <f>IFERROR(__xludf.DUMMYFUNCTION("""COMPUTED_VALUE"""),"2025")</f>
        <v>2025</v>
      </c>
      <c r="D1077" s="5" t="str">
        <f>IFERROR(__xludf.DUMMYFUNCTION("""COMPUTED_VALUE"""),"2025/2026")</f>
        <v>2025/2026</v>
      </c>
      <c r="E1077" s="9">
        <f>IFERROR(__xludf.DUMMYFUNCTION("""COMPUTED_VALUE"""),45966.0)</f>
        <v>45966</v>
      </c>
      <c r="F1077" s="5" t="str">
        <f>IFERROR(__xludf.DUMMYFUNCTION("""COMPUTED_VALUE"""),"Ganjil")</f>
        <v>Ganjil</v>
      </c>
      <c r="G1077" s="5" t="str">
        <f>IFERROR(__xludf.DUMMYFUNCTION("""COMPUTED_VALUE"""),"Akuntansi")</f>
        <v>Akuntansi</v>
      </c>
      <c r="H1077" s="10" t="str">
        <f>IFERROR(__xludf.DUMMYFUNCTION("""COMPUTED_VALUE"""),"Mahasiswa")</f>
        <v>Mahasiswa</v>
      </c>
      <c r="I1077" s="6" t="str">
        <f>IFERROR(__xludf.DUMMYFUNCTION("""COMPUTED_VALUE"""),"Nida Hayin Fadillah")</f>
        <v>Nida Hayin Fadillah</v>
      </c>
      <c r="J1077" s="6" t="str">
        <f>IFERROR(__xludf.DUMMYFUNCTION("""COMPUTED_VALUE"""),"Sherena Wahyutari, S.Stat.")</f>
        <v>Sherena Wahyutari, S.Stat.</v>
      </c>
      <c r="K1077" s="6"/>
      <c r="L1077" s="6"/>
      <c r="M1077" s="6"/>
      <c r="N1077" s="6"/>
      <c r="O1077" s="6"/>
      <c r="P1077" s="10" t="str">
        <f>IFERROR(__xludf.DUMMYFUNCTION("""COMPUTED_VALUE"""),"Nida Hayin Fadillah, Sherena Wahyutari")</f>
        <v>Nida Hayin Fadillah, Sherena Wahyutari</v>
      </c>
      <c r="Q1077" s="11" t="str">
        <f>IFERROR(__xludf.DUMMYFUNCTION("""COMPUTED_VALUE"""),"https://openjournal.unpam.ac.id/index.php/Inovasi/about/submissions")</f>
        <v>https://openjournal.unpam.ac.id/index.php/Inovasi/about/submissions</v>
      </c>
      <c r="R1077" s="6"/>
    </row>
    <row r="1078">
      <c r="A1078" s="5">
        <f>IFERROR(__xludf.DUMMYFUNCTION("""COMPUTED_VALUE"""),1077.0)</f>
        <v>1077</v>
      </c>
      <c r="B1078" s="6" t="str">
        <f>IFERROR(__xludf.DUMMYFUNCTION("""COMPUTED_VALUE"""),"Analisis Profitabilitas dalam Menilai Kinerja Keuangan Bank Umum BUMN 2022–2024")</f>
        <v>Analisis Profitabilitas dalam Menilai Kinerja Keuangan Bank Umum BUMN 2022–2024</v>
      </c>
      <c r="C1078" s="7" t="str">
        <f>IFERROR(__xludf.DUMMYFUNCTION("""COMPUTED_VALUE"""),"2025")</f>
        <v>2025</v>
      </c>
      <c r="D1078" s="5" t="str">
        <f>IFERROR(__xludf.DUMMYFUNCTION("""COMPUTED_VALUE"""),"2025/2026")</f>
        <v>2025/2026</v>
      </c>
      <c r="E1078" s="9">
        <f>IFERROR(__xludf.DUMMYFUNCTION("""COMPUTED_VALUE"""),45943.0)</f>
        <v>45943</v>
      </c>
      <c r="F1078" s="5" t="str">
        <f>IFERROR(__xludf.DUMMYFUNCTION("""COMPUTED_VALUE"""),"Ganjil")</f>
        <v>Ganjil</v>
      </c>
      <c r="G1078" s="5" t="str">
        <f>IFERROR(__xludf.DUMMYFUNCTION("""COMPUTED_VALUE"""),"Akuntansi")</f>
        <v>Akuntansi</v>
      </c>
      <c r="H1078" s="10" t="str">
        <f>IFERROR(__xludf.DUMMYFUNCTION("""COMPUTED_VALUE"""),"Mahasiswa")</f>
        <v>Mahasiswa</v>
      </c>
      <c r="I1078" s="6" t="str">
        <f>IFERROR(__xludf.DUMMYFUNCTION("""COMPUTED_VALUE"""),"Novia Putri Damayanti")</f>
        <v>Novia Putri Damayanti</v>
      </c>
      <c r="J1078" s="6" t="str">
        <f>IFERROR(__xludf.DUMMYFUNCTION("""COMPUTED_VALUE"""),"Dika Puspitaningrum, S.Ak., M.Ak., CAP.")</f>
        <v>Dika Puspitaningrum, S.Ak., M.Ak., CAP.</v>
      </c>
      <c r="K1078" s="6"/>
      <c r="L1078" s="6"/>
      <c r="M1078" s="6"/>
      <c r="N1078" s="6"/>
      <c r="O1078" s="6"/>
      <c r="P1078" s="10" t="str">
        <f>IFERROR(__xludf.DUMMYFUNCTION("""COMPUTED_VALUE"""),"Novia Putri Damayanti, Dika Puspitaningrum")</f>
        <v>Novia Putri Damayanti, Dika Puspitaningrum</v>
      </c>
      <c r="Q1078" s="11" t="str">
        <f>IFERROR(__xludf.DUMMYFUNCTION("""COMPUTED_VALUE"""),"https://mika.stiesurakarta.ac.id/uploads/files/thesis_guidance/publish_attachment/5ef23447-5ac5-4bf0-97bf-5f524d9965e7/1762612916_LoA%20Novia%20Putri%20Damayanti%201641.pdf")</f>
        <v>https://mika.stiesurakarta.ac.id/uploads/files/thesis_guidance/publish_attachment/5ef23447-5ac5-4bf0-97bf-5f524d9965e7/1762612916_LoA%20Novia%20Putri%20Damayanti%201641.pdf</v>
      </c>
      <c r="R1078" s="6"/>
    </row>
    <row r="1079">
      <c r="A1079" s="5">
        <f>IFERROR(__xludf.DUMMYFUNCTION("""COMPUTED_VALUE"""),1078.0)</f>
        <v>1078</v>
      </c>
      <c r="B1079" s="6" t="str">
        <f>IFERROR(__xludf.DUMMYFUNCTION("""COMPUTED_VALUE"""),"Pengaruh Persepsi Kemudahan, Persepsi Keamanan, Persepsi Manfaat, dan Financial Literacy terhadap Minat Penggunaan E-wallet pada Generasi Z di Kabupaten Boyolali")</f>
        <v>Pengaruh Persepsi Kemudahan, Persepsi Keamanan, Persepsi Manfaat, dan Financial Literacy terhadap Minat Penggunaan E-wallet pada Generasi Z di Kabupaten Boyolali</v>
      </c>
      <c r="C1079" s="7" t="str">
        <f>IFERROR(__xludf.DUMMYFUNCTION("""COMPUTED_VALUE"""),"2025")</f>
        <v>2025</v>
      </c>
      <c r="D1079" s="5" t="str">
        <f>IFERROR(__xludf.DUMMYFUNCTION("""COMPUTED_VALUE"""),"2025/2026")</f>
        <v>2025/2026</v>
      </c>
      <c r="E1079" s="9">
        <f>IFERROR(__xludf.DUMMYFUNCTION("""COMPUTED_VALUE"""),45953.0)</f>
        <v>45953</v>
      </c>
      <c r="F1079" s="5" t="str">
        <f>IFERROR(__xludf.DUMMYFUNCTION("""COMPUTED_VALUE"""),"Ganjil")</f>
        <v>Ganjil</v>
      </c>
      <c r="G1079" s="5" t="str">
        <f>IFERROR(__xludf.DUMMYFUNCTION("""COMPUTED_VALUE"""),"Akuntansi")</f>
        <v>Akuntansi</v>
      </c>
      <c r="H1079" s="10" t="str">
        <f>IFERROR(__xludf.DUMMYFUNCTION("""COMPUTED_VALUE"""),"Mahasiswa")</f>
        <v>Mahasiswa</v>
      </c>
      <c r="I1079" s="6" t="str">
        <f>IFERROR(__xludf.DUMMYFUNCTION("""COMPUTED_VALUE"""),"Putri Tarisa")</f>
        <v>Putri Tarisa</v>
      </c>
      <c r="J1079" s="6" t="str">
        <f>IFERROR(__xludf.DUMMYFUNCTION("""COMPUTED_VALUE"""),"Dika Puspitaningrum, S.Ak., M.Ak., CAP.")</f>
        <v>Dika Puspitaningrum, S.Ak., M.Ak., CAP.</v>
      </c>
      <c r="K1079" s="6"/>
      <c r="L1079" s="6"/>
      <c r="M1079" s="6"/>
      <c r="N1079" s="6"/>
      <c r="O1079" s="6"/>
      <c r="P1079" s="10" t="str">
        <f>IFERROR(__xludf.DUMMYFUNCTION("""COMPUTED_VALUE"""),"Putri Tarisa, Dika Puspitaningrum")</f>
        <v>Putri Tarisa, Dika Puspitaningrum</v>
      </c>
      <c r="Q1079" s="11" t="str">
        <f>IFERROR(__xludf.DUMMYFUNCTION("""COMPUTED_VALUE"""),"https://journalshub.org/index.php/JUMBIKU/article/view/6102")</f>
        <v>https://journalshub.org/index.php/JUMBIKU/article/view/6102</v>
      </c>
      <c r="R1079" s="6"/>
    </row>
    <row r="1080">
      <c r="A1080" s="5">
        <f>IFERROR(__xludf.DUMMYFUNCTION("""COMPUTED_VALUE"""),1079.0)</f>
        <v>1079</v>
      </c>
      <c r="B1080" s="6" t="str">
        <f>IFERROR(__xludf.DUMMYFUNCTION("""COMPUTED_VALUE"""),"PENGARUH PERENCANAAN KEUANGAN, LITERASI KEUANGAN, DAN PENCATATAN KEUANGAN TERHADAP KINERJA UMKM DI SOLO RAYA")</f>
        <v>PENGARUH PERENCANAAN KEUANGAN, LITERASI KEUANGAN, DAN PENCATATAN KEUANGAN TERHADAP KINERJA UMKM DI SOLO RAYA</v>
      </c>
      <c r="C1080" s="7" t="str">
        <f>IFERROR(__xludf.DUMMYFUNCTION("""COMPUTED_VALUE"""),"2025")</f>
        <v>2025</v>
      </c>
      <c r="D1080" s="5" t="str">
        <f>IFERROR(__xludf.DUMMYFUNCTION("""COMPUTED_VALUE"""),"2025/2026")</f>
        <v>2025/2026</v>
      </c>
      <c r="E1080" s="9">
        <f>IFERROR(__xludf.DUMMYFUNCTION("""COMPUTED_VALUE"""),45973.0)</f>
        <v>45973</v>
      </c>
      <c r="F1080" s="5" t="str">
        <f>IFERROR(__xludf.DUMMYFUNCTION("""COMPUTED_VALUE"""),"Ganjil")</f>
        <v>Ganjil</v>
      </c>
      <c r="G1080" s="5" t="str">
        <f>IFERROR(__xludf.DUMMYFUNCTION("""COMPUTED_VALUE"""),"Akuntansi")</f>
        <v>Akuntansi</v>
      </c>
      <c r="H1080" s="10" t="str">
        <f>IFERROR(__xludf.DUMMYFUNCTION("""COMPUTED_VALUE"""),"Mahasiswa")</f>
        <v>Mahasiswa</v>
      </c>
      <c r="I1080" s="6" t="str">
        <f>IFERROR(__xludf.DUMMYFUNCTION("""COMPUTED_VALUE"""),"Agustina Nur Cahyani")</f>
        <v>Agustina Nur Cahyani</v>
      </c>
      <c r="J1080" s="6" t="str">
        <f>IFERROR(__xludf.DUMMYFUNCTION("""COMPUTED_VALUE"""),"Dewi Ika Octavia, S.E., M.Si")</f>
        <v>Dewi Ika Octavia, S.E., M.Si</v>
      </c>
      <c r="K1080" s="6"/>
      <c r="L1080" s="6"/>
      <c r="M1080" s="6"/>
      <c r="N1080" s="6"/>
      <c r="O1080" s="6"/>
      <c r="P1080" s="10" t="str">
        <f>IFERROR(__xludf.DUMMYFUNCTION("""COMPUTED_VALUE"""),"Agustina Nur Cahyani, Dewi Ika Octavia")</f>
        <v>Agustina Nur Cahyani, Dewi Ika Octavia</v>
      </c>
      <c r="Q1080" s="11" t="str">
        <f>IFERROR(__xludf.DUMMYFUNCTION("""COMPUTED_VALUE"""),"https://repository.stiesurakarta.ac.id/submission/c3d36371-3a71-4c6b-a87e-6ac486766ebc")</f>
        <v>https://repository.stiesurakarta.ac.id/submission/c3d36371-3a71-4c6b-a87e-6ac486766ebc</v>
      </c>
      <c r="R1080" s="6"/>
    </row>
    <row r="1081">
      <c r="A1081" s="5">
        <f>IFERROR(__xludf.DUMMYFUNCTION("""COMPUTED_VALUE"""),1080.0)</f>
        <v>1080</v>
      </c>
      <c r="B1081" s="6" t="str">
        <f>IFERROR(__xludf.DUMMYFUNCTION("""COMPUTED_VALUE"""),"DETERMINAN KEPATUHAN WAJIB PAJAK KENDARAAN BERMOTOR DI KABUPATEN SUKOHARJO")</f>
        <v>DETERMINAN KEPATUHAN WAJIB PAJAK KENDARAAN BERMOTOR DI KABUPATEN SUKOHARJO</v>
      </c>
      <c r="C1081" s="7" t="str">
        <f>IFERROR(__xludf.DUMMYFUNCTION("""COMPUTED_VALUE"""),"2025")</f>
        <v>2025</v>
      </c>
      <c r="D1081" s="5" t="str">
        <f>IFERROR(__xludf.DUMMYFUNCTION("""COMPUTED_VALUE"""),"2025/2026")</f>
        <v>2025/2026</v>
      </c>
      <c r="E1081" s="9">
        <f>IFERROR(__xludf.DUMMYFUNCTION("""COMPUTED_VALUE"""),45973.0)</f>
        <v>45973</v>
      </c>
      <c r="F1081" s="5" t="str">
        <f>IFERROR(__xludf.DUMMYFUNCTION("""COMPUTED_VALUE"""),"Ganjil")</f>
        <v>Ganjil</v>
      </c>
      <c r="G1081" s="5" t="str">
        <f>IFERROR(__xludf.DUMMYFUNCTION("""COMPUTED_VALUE"""),"Akuntansi")</f>
        <v>Akuntansi</v>
      </c>
      <c r="H1081" s="10" t="str">
        <f>IFERROR(__xludf.DUMMYFUNCTION("""COMPUTED_VALUE"""),"Mahasiswa")</f>
        <v>Mahasiswa</v>
      </c>
      <c r="I1081" s="6" t="str">
        <f>IFERROR(__xludf.DUMMYFUNCTION("""COMPUTED_VALUE"""),"Prasastika Ardhia Nirmala")</f>
        <v>Prasastika Ardhia Nirmala</v>
      </c>
      <c r="J1081" s="6" t="str">
        <f>IFERROR(__xludf.DUMMYFUNCTION("""COMPUTED_VALUE"""),"Dewi Ika Octavia, S.E., M.Si")</f>
        <v>Dewi Ika Octavia, S.E., M.Si</v>
      </c>
      <c r="K1081" s="6"/>
      <c r="L1081" s="6"/>
      <c r="M1081" s="6"/>
      <c r="N1081" s="6"/>
      <c r="O1081" s="6"/>
      <c r="P1081" s="10" t="str">
        <f>IFERROR(__xludf.DUMMYFUNCTION("""COMPUTED_VALUE"""),"Prasastika Ardhia Nirmala, Dewi Ika Octavia")</f>
        <v>Prasastika Ardhia Nirmala, Dewi Ika Octavia</v>
      </c>
      <c r="Q1081" s="11" t="str">
        <f>IFERROR(__xludf.DUMMYFUNCTION("""COMPUTED_VALUE"""),"https://repository.stiesurakarta.ac.id/submission/f38f8d6c-e331-4eed-9d17-b7c2dbe01b49")</f>
        <v>https://repository.stiesurakarta.ac.id/submission/f38f8d6c-e331-4eed-9d17-b7c2dbe01b49</v>
      </c>
      <c r="R1081" s="6"/>
    </row>
    <row r="1082">
      <c r="A1082" s="5">
        <f>IFERROR(__xludf.DUMMYFUNCTION("""COMPUTED_VALUE"""),1081.0)</f>
        <v>1081</v>
      </c>
      <c r="B1082" s="6"/>
      <c r="C1082" s="5"/>
      <c r="D1082" s="5"/>
      <c r="E1082" s="9"/>
      <c r="F1082" s="5"/>
      <c r="G1082" s="5"/>
      <c r="H1082" s="10"/>
      <c r="I1082" s="6"/>
      <c r="J1082" s="6"/>
      <c r="K1082" s="6"/>
      <c r="L1082" s="6"/>
      <c r="M1082" s="6"/>
      <c r="N1082" s="6"/>
      <c r="O1082" s="6"/>
      <c r="P1082" s="10"/>
      <c r="Q1082" s="6"/>
      <c r="R1082" s="6"/>
    </row>
    <row r="1083">
      <c r="A1083" s="5">
        <f>IFERROR(__xludf.DUMMYFUNCTION("""COMPUTED_VALUE"""),1082.0)</f>
        <v>1082</v>
      </c>
      <c r="B1083" s="6"/>
      <c r="C1083" s="5"/>
      <c r="D1083" s="5"/>
      <c r="E1083" s="9"/>
      <c r="F1083" s="5"/>
      <c r="G1083" s="5"/>
      <c r="H1083" s="10"/>
      <c r="I1083" s="6"/>
      <c r="J1083" s="6"/>
      <c r="K1083" s="6"/>
      <c r="L1083" s="6"/>
      <c r="M1083" s="6"/>
      <c r="N1083" s="6"/>
      <c r="O1083" s="6"/>
      <c r="P1083" s="10"/>
      <c r="Q1083" s="6"/>
      <c r="R1083" s="6"/>
    </row>
    <row r="1084">
      <c r="A1084" s="5">
        <f>IFERROR(__xludf.DUMMYFUNCTION("""COMPUTED_VALUE"""),1083.0)</f>
        <v>1083</v>
      </c>
      <c r="B1084" s="6"/>
      <c r="C1084" s="5"/>
      <c r="D1084" s="5"/>
      <c r="E1084" s="9"/>
      <c r="F1084" s="5"/>
      <c r="G1084" s="5"/>
      <c r="H1084" s="10"/>
      <c r="I1084" s="6"/>
      <c r="J1084" s="6"/>
      <c r="K1084" s="6"/>
      <c r="L1084" s="6"/>
      <c r="M1084" s="6"/>
      <c r="N1084" s="6"/>
      <c r="O1084" s="6"/>
      <c r="P1084" s="10"/>
      <c r="Q1084" s="6"/>
      <c r="R1084" s="6"/>
    </row>
    <row r="1085">
      <c r="A1085" s="5">
        <f>IFERROR(__xludf.DUMMYFUNCTION("""COMPUTED_VALUE"""),1084.0)</f>
        <v>1084</v>
      </c>
      <c r="B1085" s="6"/>
      <c r="C1085" s="5"/>
      <c r="D1085" s="5"/>
      <c r="E1085" s="9"/>
      <c r="F1085" s="5"/>
      <c r="G1085" s="5"/>
      <c r="H1085" s="10"/>
      <c r="I1085" s="6"/>
      <c r="J1085" s="6"/>
      <c r="K1085" s="6"/>
      <c r="L1085" s="6"/>
      <c r="M1085" s="6"/>
      <c r="N1085" s="6"/>
      <c r="O1085" s="6"/>
      <c r="P1085" s="10"/>
      <c r="Q1085" s="6"/>
      <c r="R1085" s="6"/>
    </row>
    <row r="1086">
      <c r="A1086" s="5">
        <f>IFERROR(__xludf.DUMMYFUNCTION("""COMPUTED_VALUE"""),1085.0)</f>
        <v>1085</v>
      </c>
      <c r="B1086" s="6"/>
      <c r="C1086" s="5"/>
      <c r="D1086" s="5"/>
      <c r="E1086" s="9"/>
      <c r="F1086" s="5"/>
      <c r="G1086" s="5"/>
      <c r="H1086" s="10"/>
      <c r="I1086" s="6"/>
      <c r="J1086" s="6"/>
      <c r="K1086" s="6"/>
      <c r="L1086" s="6"/>
      <c r="M1086" s="6"/>
      <c r="N1086" s="6"/>
      <c r="O1086" s="6"/>
      <c r="P1086" s="10"/>
      <c r="Q1086" s="6"/>
      <c r="R1086" s="6"/>
    </row>
    <row r="1087">
      <c r="A1087" s="5">
        <f>IFERROR(__xludf.DUMMYFUNCTION("""COMPUTED_VALUE"""),1086.0)</f>
        <v>1086</v>
      </c>
      <c r="B1087" s="6"/>
      <c r="C1087" s="5"/>
      <c r="D1087" s="5"/>
      <c r="E1087" s="9"/>
      <c r="F1087" s="5"/>
      <c r="G1087" s="5"/>
      <c r="H1087" s="10"/>
      <c r="I1087" s="6"/>
      <c r="J1087" s="6"/>
      <c r="K1087" s="6"/>
      <c r="L1087" s="6"/>
      <c r="M1087" s="6"/>
      <c r="N1087" s="6"/>
      <c r="O1087" s="6"/>
      <c r="P1087" s="10"/>
      <c r="Q1087" s="6"/>
      <c r="R1087" s="6"/>
    </row>
    <row r="1088">
      <c r="A1088" s="5">
        <f>IFERROR(__xludf.DUMMYFUNCTION("""COMPUTED_VALUE"""),1087.0)</f>
        <v>1087</v>
      </c>
      <c r="B1088" s="6"/>
      <c r="C1088" s="5"/>
      <c r="D1088" s="5"/>
      <c r="E1088" s="9"/>
      <c r="F1088" s="5"/>
      <c r="G1088" s="5"/>
      <c r="H1088" s="10"/>
      <c r="I1088" s="6"/>
      <c r="J1088" s="6"/>
      <c r="K1088" s="6"/>
      <c r="L1088" s="6"/>
      <c r="M1088" s="6"/>
      <c r="N1088" s="6"/>
      <c r="O1088" s="6"/>
      <c r="P1088" s="10"/>
      <c r="Q1088" s="6"/>
      <c r="R1088" s="6"/>
    </row>
    <row r="1089">
      <c r="A1089" s="5">
        <f>IFERROR(__xludf.DUMMYFUNCTION("""COMPUTED_VALUE"""),1088.0)</f>
        <v>1088</v>
      </c>
      <c r="B1089" s="6"/>
      <c r="C1089" s="5"/>
      <c r="D1089" s="5"/>
      <c r="E1089" s="9"/>
      <c r="F1089" s="5"/>
      <c r="G1089" s="5"/>
      <c r="H1089" s="10"/>
      <c r="I1089" s="6"/>
      <c r="J1089" s="6"/>
      <c r="K1089" s="6"/>
      <c r="L1089" s="6"/>
      <c r="M1089" s="6"/>
      <c r="N1089" s="6"/>
      <c r="O1089" s="6"/>
      <c r="P1089" s="10"/>
      <c r="Q1089" s="6"/>
      <c r="R1089" s="6"/>
    </row>
    <row r="1090">
      <c r="A1090" s="5">
        <f>IFERROR(__xludf.DUMMYFUNCTION("""COMPUTED_VALUE"""),1089.0)</f>
        <v>1089</v>
      </c>
      <c r="B1090" s="6"/>
      <c r="C1090" s="5"/>
      <c r="D1090" s="5"/>
      <c r="E1090" s="9"/>
      <c r="F1090" s="5"/>
      <c r="G1090" s="5"/>
      <c r="H1090" s="10"/>
      <c r="I1090" s="6"/>
      <c r="J1090" s="6"/>
      <c r="K1090" s="6"/>
      <c r="L1090" s="6"/>
      <c r="M1090" s="6"/>
      <c r="N1090" s="6"/>
      <c r="O1090" s="6"/>
      <c r="P1090" s="10"/>
      <c r="Q1090" s="6"/>
      <c r="R1090" s="6"/>
    </row>
    <row r="1091">
      <c r="A1091" s="5">
        <f>IFERROR(__xludf.DUMMYFUNCTION("""COMPUTED_VALUE"""),1090.0)</f>
        <v>1090</v>
      </c>
      <c r="B1091" s="6"/>
      <c r="C1091" s="5"/>
      <c r="D1091" s="5"/>
      <c r="E1091" s="9"/>
      <c r="F1091" s="5"/>
      <c r="G1091" s="5"/>
      <c r="H1091" s="10"/>
      <c r="I1091" s="6"/>
      <c r="J1091" s="6"/>
      <c r="K1091" s="6"/>
      <c r="L1091" s="6"/>
      <c r="M1091" s="6"/>
      <c r="N1091" s="6"/>
      <c r="O1091" s="6"/>
      <c r="P1091" s="10"/>
      <c r="Q1091" s="6"/>
      <c r="R1091" s="6"/>
    </row>
    <row r="1092">
      <c r="A1092" s="5">
        <f>IFERROR(__xludf.DUMMYFUNCTION("""COMPUTED_VALUE"""),1091.0)</f>
        <v>1091</v>
      </c>
      <c r="B1092" s="6"/>
      <c r="C1092" s="5"/>
      <c r="D1092" s="5"/>
      <c r="E1092" s="9"/>
      <c r="F1092" s="5"/>
      <c r="G1092" s="5"/>
      <c r="H1092" s="10"/>
      <c r="I1092" s="6"/>
      <c r="J1092" s="6"/>
      <c r="K1092" s="6"/>
      <c r="L1092" s="6"/>
      <c r="M1092" s="6"/>
      <c r="N1092" s="6"/>
      <c r="O1092" s="6"/>
      <c r="P1092" s="10"/>
      <c r="Q1092" s="6"/>
      <c r="R1092" s="6"/>
    </row>
    <row r="1093">
      <c r="A1093" s="5">
        <f>IFERROR(__xludf.DUMMYFUNCTION("""COMPUTED_VALUE"""),1092.0)</f>
        <v>1092</v>
      </c>
      <c r="B1093" s="6"/>
      <c r="C1093" s="5"/>
      <c r="D1093" s="5"/>
      <c r="E1093" s="9"/>
      <c r="F1093" s="5"/>
      <c r="G1093" s="5"/>
      <c r="H1093" s="10"/>
      <c r="I1093" s="6"/>
      <c r="J1093" s="6"/>
      <c r="K1093" s="6"/>
      <c r="L1093" s="6"/>
      <c r="M1093" s="6"/>
      <c r="N1093" s="6"/>
      <c r="O1093" s="6"/>
      <c r="P1093" s="10"/>
      <c r="Q1093" s="6"/>
      <c r="R1093" s="6"/>
    </row>
    <row r="1094">
      <c r="A1094" s="5">
        <f>IFERROR(__xludf.DUMMYFUNCTION("""COMPUTED_VALUE"""),1093.0)</f>
        <v>1093</v>
      </c>
      <c r="B1094" s="6"/>
      <c r="C1094" s="5"/>
      <c r="D1094" s="5"/>
      <c r="E1094" s="9"/>
      <c r="F1094" s="5"/>
      <c r="G1094" s="5"/>
      <c r="H1094" s="10"/>
      <c r="I1094" s="6"/>
      <c r="J1094" s="6"/>
      <c r="K1094" s="6"/>
      <c r="L1094" s="6"/>
      <c r="M1094" s="6"/>
      <c r="N1094" s="6"/>
      <c r="O1094" s="6"/>
      <c r="P1094" s="10"/>
      <c r="Q1094" s="6"/>
      <c r="R1094" s="6"/>
    </row>
    <row r="1095">
      <c r="A1095" s="5">
        <f>IFERROR(__xludf.DUMMYFUNCTION("""COMPUTED_VALUE"""),1094.0)</f>
        <v>1094</v>
      </c>
      <c r="B1095" s="6"/>
      <c r="C1095" s="5"/>
      <c r="D1095" s="5"/>
      <c r="E1095" s="9"/>
      <c r="F1095" s="5"/>
      <c r="G1095" s="5"/>
      <c r="H1095" s="10"/>
      <c r="I1095" s="6"/>
      <c r="J1095" s="6"/>
      <c r="K1095" s="6"/>
      <c r="L1095" s="6"/>
      <c r="M1095" s="6"/>
      <c r="N1095" s="6"/>
      <c r="O1095" s="6"/>
      <c r="P1095" s="10"/>
      <c r="Q1095" s="6"/>
      <c r="R1095" s="6"/>
    </row>
    <row r="1096">
      <c r="A1096" s="5">
        <f>IFERROR(__xludf.DUMMYFUNCTION("""COMPUTED_VALUE"""),1095.0)</f>
        <v>1095</v>
      </c>
      <c r="B1096" s="6"/>
      <c r="C1096" s="5"/>
      <c r="D1096" s="5"/>
      <c r="E1096" s="9"/>
      <c r="F1096" s="5"/>
      <c r="G1096" s="5"/>
      <c r="H1096" s="10"/>
      <c r="I1096" s="6"/>
      <c r="J1096" s="6"/>
      <c r="K1096" s="6"/>
      <c r="L1096" s="6"/>
      <c r="M1096" s="6"/>
      <c r="N1096" s="6"/>
      <c r="O1096" s="6"/>
      <c r="P1096" s="10"/>
      <c r="Q1096" s="6"/>
      <c r="R1096" s="6"/>
    </row>
    <row r="1097">
      <c r="A1097" s="5">
        <f>IFERROR(__xludf.DUMMYFUNCTION("""COMPUTED_VALUE"""),1096.0)</f>
        <v>1096</v>
      </c>
      <c r="B1097" s="6"/>
      <c r="C1097" s="5"/>
      <c r="D1097" s="5"/>
      <c r="E1097" s="9"/>
      <c r="F1097" s="5"/>
      <c r="G1097" s="5"/>
      <c r="H1097" s="10"/>
      <c r="I1097" s="6"/>
      <c r="J1097" s="6"/>
      <c r="K1097" s="6"/>
      <c r="L1097" s="6"/>
      <c r="M1097" s="6"/>
      <c r="N1097" s="6"/>
      <c r="O1097" s="6"/>
      <c r="P1097" s="10"/>
      <c r="Q1097" s="6"/>
      <c r="R1097" s="6"/>
    </row>
    <row r="1098">
      <c r="A1098" s="5">
        <f>IFERROR(__xludf.DUMMYFUNCTION("""COMPUTED_VALUE"""),1097.0)</f>
        <v>1097</v>
      </c>
      <c r="B1098" s="6"/>
      <c r="C1098" s="5"/>
      <c r="D1098" s="5"/>
      <c r="E1098" s="9"/>
      <c r="F1098" s="5"/>
      <c r="G1098" s="5"/>
      <c r="H1098" s="10"/>
      <c r="I1098" s="6"/>
      <c r="J1098" s="6"/>
      <c r="K1098" s="6"/>
      <c r="L1098" s="6"/>
      <c r="M1098" s="6"/>
      <c r="N1098" s="6"/>
      <c r="O1098" s="6"/>
      <c r="P1098" s="10"/>
      <c r="Q1098" s="6"/>
      <c r="R1098" s="6"/>
    </row>
    <row r="1099">
      <c r="A1099" s="5">
        <f>IFERROR(__xludf.DUMMYFUNCTION("""COMPUTED_VALUE"""),1098.0)</f>
        <v>1098</v>
      </c>
      <c r="B1099" s="6"/>
      <c r="C1099" s="5"/>
      <c r="D1099" s="5"/>
      <c r="E1099" s="9"/>
      <c r="F1099" s="5"/>
      <c r="G1099" s="5"/>
      <c r="H1099" s="10"/>
      <c r="I1099" s="6"/>
      <c r="J1099" s="6"/>
      <c r="K1099" s="6"/>
      <c r="L1099" s="6"/>
      <c r="M1099" s="6"/>
      <c r="N1099" s="6"/>
      <c r="O1099" s="6"/>
      <c r="P1099" s="10"/>
      <c r="Q1099" s="6"/>
      <c r="R1099" s="6"/>
    </row>
    <row r="1100">
      <c r="A1100" s="5">
        <f>IFERROR(__xludf.DUMMYFUNCTION("""COMPUTED_VALUE"""),1099.0)</f>
        <v>1099</v>
      </c>
      <c r="B1100" s="6"/>
      <c r="C1100" s="5"/>
      <c r="D1100" s="5"/>
      <c r="E1100" s="9"/>
      <c r="F1100" s="5"/>
      <c r="G1100" s="5"/>
      <c r="H1100" s="10"/>
      <c r="I1100" s="6"/>
      <c r="J1100" s="6"/>
      <c r="K1100" s="6"/>
      <c r="L1100" s="6"/>
      <c r="M1100" s="6"/>
      <c r="N1100" s="6"/>
      <c r="O1100" s="6"/>
      <c r="P1100" s="10"/>
      <c r="Q1100" s="6"/>
      <c r="R1100" s="6"/>
    </row>
    <row r="1101">
      <c r="A1101" s="5">
        <f>IFERROR(__xludf.DUMMYFUNCTION("""COMPUTED_VALUE"""),1100.0)</f>
        <v>1100</v>
      </c>
      <c r="B1101" s="6"/>
      <c r="C1101" s="5"/>
      <c r="D1101" s="5"/>
      <c r="E1101" s="9"/>
      <c r="F1101" s="5"/>
      <c r="G1101" s="5"/>
      <c r="H1101" s="10"/>
      <c r="I1101" s="6"/>
      <c r="J1101" s="6"/>
      <c r="K1101" s="6"/>
      <c r="L1101" s="6"/>
      <c r="M1101" s="6"/>
      <c r="N1101" s="6"/>
      <c r="O1101" s="6"/>
      <c r="P1101" s="10"/>
      <c r="Q1101" s="6"/>
      <c r="R1101" s="6"/>
    </row>
    <row r="1102">
      <c r="A1102" s="5">
        <f>IFERROR(__xludf.DUMMYFUNCTION("""COMPUTED_VALUE"""),1101.0)</f>
        <v>1101</v>
      </c>
      <c r="B1102" s="6"/>
      <c r="C1102" s="5"/>
      <c r="D1102" s="5"/>
      <c r="E1102" s="9"/>
      <c r="F1102" s="5"/>
      <c r="G1102" s="5"/>
      <c r="H1102" s="10"/>
      <c r="I1102" s="6"/>
      <c r="J1102" s="6"/>
      <c r="K1102" s="6"/>
      <c r="L1102" s="6"/>
      <c r="M1102" s="6"/>
      <c r="N1102" s="6"/>
      <c r="O1102" s="6"/>
      <c r="P1102" s="10"/>
      <c r="Q1102" s="6"/>
      <c r="R1102" s="6"/>
    </row>
    <row r="1103">
      <c r="A1103" s="5">
        <f>IFERROR(__xludf.DUMMYFUNCTION("""COMPUTED_VALUE"""),1102.0)</f>
        <v>1102</v>
      </c>
      <c r="B1103" s="6"/>
      <c r="C1103" s="5"/>
      <c r="D1103" s="5"/>
      <c r="E1103" s="9"/>
      <c r="F1103" s="5"/>
      <c r="G1103" s="5"/>
      <c r="H1103" s="10"/>
      <c r="I1103" s="6"/>
      <c r="J1103" s="6"/>
      <c r="K1103" s="6"/>
      <c r="L1103" s="6"/>
      <c r="M1103" s="6"/>
      <c r="N1103" s="6"/>
      <c r="O1103" s="6"/>
      <c r="P1103" s="10"/>
      <c r="Q1103" s="6"/>
      <c r="R1103" s="6"/>
    </row>
    <row r="1104">
      <c r="A1104" s="5">
        <f>IFERROR(__xludf.DUMMYFUNCTION("""COMPUTED_VALUE"""),1103.0)</f>
        <v>1103</v>
      </c>
      <c r="B1104" s="6"/>
      <c r="C1104" s="5"/>
      <c r="D1104" s="5"/>
      <c r="E1104" s="9"/>
      <c r="F1104" s="5"/>
      <c r="G1104" s="5"/>
      <c r="H1104" s="10"/>
      <c r="I1104" s="6"/>
      <c r="J1104" s="6"/>
      <c r="K1104" s="6"/>
      <c r="L1104" s="6"/>
      <c r="M1104" s="6"/>
      <c r="N1104" s="6"/>
      <c r="O1104" s="6"/>
      <c r="P1104" s="10"/>
      <c r="Q1104" s="6"/>
      <c r="R1104" s="6"/>
    </row>
    <row r="1105">
      <c r="A1105" s="5">
        <f>IFERROR(__xludf.DUMMYFUNCTION("""COMPUTED_VALUE"""),1104.0)</f>
        <v>1104</v>
      </c>
      <c r="B1105" s="6"/>
      <c r="C1105" s="5"/>
      <c r="D1105" s="5"/>
      <c r="E1105" s="9"/>
      <c r="F1105" s="5"/>
      <c r="G1105" s="5"/>
      <c r="H1105" s="10"/>
      <c r="I1105" s="6"/>
      <c r="J1105" s="6"/>
      <c r="K1105" s="6"/>
      <c r="L1105" s="6"/>
      <c r="M1105" s="6"/>
      <c r="N1105" s="6"/>
      <c r="O1105" s="6"/>
      <c r="P1105" s="10"/>
      <c r="Q1105" s="6"/>
      <c r="R1105" s="6"/>
    </row>
    <row r="1106">
      <c r="A1106" s="5">
        <f>IFERROR(__xludf.DUMMYFUNCTION("""COMPUTED_VALUE"""),1105.0)</f>
        <v>1105</v>
      </c>
      <c r="B1106" s="6"/>
      <c r="C1106" s="5"/>
      <c r="D1106" s="5"/>
      <c r="E1106" s="9"/>
      <c r="F1106" s="5"/>
      <c r="G1106" s="5"/>
      <c r="H1106" s="10"/>
      <c r="I1106" s="6"/>
      <c r="J1106" s="6"/>
      <c r="K1106" s="6"/>
      <c r="L1106" s="6"/>
      <c r="M1106" s="6"/>
      <c r="N1106" s="6"/>
      <c r="O1106" s="6"/>
      <c r="P1106" s="10"/>
      <c r="Q1106" s="6"/>
      <c r="R1106" s="6"/>
    </row>
    <row r="1107">
      <c r="A1107" s="5">
        <f>IFERROR(__xludf.DUMMYFUNCTION("""COMPUTED_VALUE"""),1106.0)</f>
        <v>1106</v>
      </c>
      <c r="B1107" s="6"/>
      <c r="C1107" s="5"/>
      <c r="D1107" s="5"/>
      <c r="E1107" s="9"/>
      <c r="F1107" s="5"/>
      <c r="G1107" s="5"/>
      <c r="H1107" s="10"/>
      <c r="I1107" s="6"/>
      <c r="J1107" s="6"/>
      <c r="K1107" s="6"/>
      <c r="L1107" s="6"/>
      <c r="M1107" s="6"/>
      <c r="N1107" s="6"/>
      <c r="O1107" s="6"/>
      <c r="P1107" s="10"/>
      <c r="Q1107" s="6"/>
      <c r="R1107" s="6"/>
    </row>
    <row r="1108">
      <c r="A1108" s="5">
        <f>IFERROR(__xludf.DUMMYFUNCTION("""COMPUTED_VALUE"""),1107.0)</f>
        <v>1107</v>
      </c>
      <c r="B1108" s="6"/>
      <c r="C1108" s="5"/>
      <c r="D1108" s="5"/>
      <c r="E1108" s="9"/>
      <c r="F1108" s="5"/>
      <c r="G1108" s="5"/>
      <c r="H1108" s="10"/>
      <c r="I1108" s="6"/>
      <c r="J1108" s="6"/>
      <c r="K1108" s="6"/>
      <c r="L1108" s="6"/>
      <c r="M1108" s="6"/>
      <c r="N1108" s="6"/>
      <c r="O1108" s="6"/>
      <c r="P1108" s="10"/>
      <c r="Q1108" s="6"/>
      <c r="R1108" s="6"/>
    </row>
    <row r="1109">
      <c r="A1109" s="5">
        <f>IFERROR(__xludf.DUMMYFUNCTION("""COMPUTED_VALUE"""),1108.0)</f>
        <v>1108</v>
      </c>
      <c r="B1109" s="6"/>
      <c r="C1109" s="5"/>
      <c r="D1109" s="5"/>
      <c r="E1109" s="9"/>
      <c r="F1109" s="5"/>
      <c r="G1109" s="5"/>
      <c r="H1109" s="10"/>
      <c r="I1109" s="6"/>
      <c r="J1109" s="6"/>
      <c r="K1109" s="6"/>
      <c r="L1109" s="6"/>
      <c r="M1109" s="6"/>
      <c r="N1109" s="6"/>
      <c r="O1109" s="6"/>
      <c r="P1109" s="10"/>
      <c r="Q1109" s="6"/>
      <c r="R1109" s="6"/>
    </row>
    <row r="1110">
      <c r="A1110" s="5">
        <f>IFERROR(__xludf.DUMMYFUNCTION("""COMPUTED_VALUE"""),1109.0)</f>
        <v>1109</v>
      </c>
      <c r="B1110" s="6"/>
      <c r="C1110" s="5"/>
      <c r="D1110" s="5"/>
      <c r="E1110" s="9"/>
      <c r="F1110" s="5"/>
      <c r="G1110" s="5"/>
      <c r="H1110" s="10"/>
      <c r="I1110" s="6"/>
      <c r="J1110" s="6"/>
      <c r="K1110" s="6"/>
      <c r="L1110" s="6"/>
      <c r="M1110" s="6"/>
      <c r="N1110" s="6"/>
      <c r="O1110" s="6"/>
      <c r="P1110" s="10"/>
      <c r="Q1110" s="6"/>
      <c r="R1110" s="6"/>
    </row>
    <row r="1111">
      <c r="A1111" s="5">
        <f>IFERROR(__xludf.DUMMYFUNCTION("""COMPUTED_VALUE"""),1110.0)</f>
        <v>1110</v>
      </c>
      <c r="B1111" s="6"/>
      <c r="C1111" s="5"/>
      <c r="D1111" s="5"/>
      <c r="E1111" s="9"/>
      <c r="F1111" s="5"/>
      <c r="G1111" s="5"/>
      <c r="H1111" s="10"/>
      <c r="I1111" s="6"/>
      <c r="J1111" s="6"/>
      <c r="K1111" s="6"/>
      <c r="L1111" s="6"/>
      <c r="M1111" s="6"/>
      <c r="N1111" s="6"/>
      <c r="O1111" s="6"/>
      <c r="P1111" s="10"/>
      <c r="Q1111" s="6"/>
      <c r="R1111" s="6"/>
    </row>
    <row r="1112">
      <c r="A1112" s="5">
        <f>IFERROR(__xludf.DUMMYFUNCTION("""COMPUTED_VALUE"""),1111.0)</f>
        <v>1111</v>
      </c>
      <c r="B1112" s="6"/>
      <c r="C1112" s="5"/>
      <c r="D1112" s="5"/>
      <c r="E1112" s="9"/>
      <c r="F1112" s="5"/>
      <c r="G1112" s="5"/>
      <c r="H1112" s="10"/>
      <c r="I1112" s="6"/>
      <c r="J1112" s="6"/>
      <c r="K1112" s="6"/>
      <c r="L1112" s="6"/>
      <c r="M1112" s="6"/>
      <c r="N1112" s="6"/>
      <c r="O1112" s="6"/>
      <c r="P1112" s="10"/>
      <c r="Q1112" s="6"/>
      <c r="R1112" s="6"/>
    </row>
    <row r="1113">
      <c r="A1113" s="5"/>
      <c r="B1113" s="6"/>
      <c r="C1113" s="5"/>
      <c r="D1113" s="5"/>
      <c r="E1113" s="9"/>
      <c r="F1113" s="5"/>
      <c r="G1113" s="5"/>
      <c r="H1113" s="10"/>
      <c r="I1113" s="6"/>
      <c r="J1113" s="6"/>
      <c r="K1113" s="6"/>
      <c r="L1113" s="6"/>
      <c r="M1113" s="6"/>
      <c r="N1113" s="6"/>
      <c r="O1113" s="6"/>
      <c r="P1113" s="10"/>
      <c r="Q1113" s="6"/>
      <c r="R1113" s="6"/>
    </row>
    <row r="1114">
      <c r="A1114" s="5"/>
      <c r="B1114" s="6"/>
      <c r="C1114" s="5"/>
      <c r="D1114" s="5"/>
      <c r="E1114" s="9"/>
      <c r="F1114" s="5"/>
      <c r="G1114" s="5"/>
      <c r="H1114" s="10"/>
      <c r="I1114" s="6"/>
      <c r="J1114" s="6"/>
      <c r="K1114" s="6"/>
      <c r="L1114" s="6"/>
      <c r="M1114" s="6"/>
      <c r="N1114" s="6"/>
      <c r="O1114" s="6"/>
      <c r="P1114" s="10"/>
      <c r="Q1114" s="6"/>
      <c r="R1114" s="6"/>
    </row>
    <row r="1115">
      <c r="A1115" s="5"/>
      <c r="B1115" s="6"/>
      <c r="C1115" s="5"/>
      <c r="D1115" s="5"/>
      <c r="E1115" s="9"/>
      <c r="F1115" s="5"/>
      <c r="G1115" s="5"/>
      <c r="H1115" s="10"/>
      <c r="I1115" s="6"/>
      <c r="J1115" s="6"/>
      <c r="K1115" s="6"/>
      <c r="L1115" s="6"/>
      <c r="M1115" s="6"/>
      <c r="N1115" s="6"/>
      <c r="O1115" s="6"/>
      <c r="P1115" s="10"/>
      <c r="Q1115" s="6"/>
      <c r="R1115" s="6"/>
    </row>
    <row r="1116">
      <c r="A1116" s="5"/>
      <c r="B1116" s="6"/>
      <c r="C1116" s="5"/>
      <c r="D1116" s="5"/>
      <c r="E1116" s="9"/>
      <c r="F1116" s="5"/>
      <c r="G1116" s="5"/>
      <c r="H1116" s="10"/>
      <c r="I1116" s="6"/>
      <c r="J1116" s="6"/>
      <c r="K1116" s="6"/>
      <c r="L1116" s="6"/>
      <c r="M1116" s="6"/>
      <c r="N1116" s="6"/>
      <c r="O1116" s="6"/>
      <c r="P1116" s="10"/>
      <c r="Q1116" s="6"/>
      <c r="R1116" s="6"/>
    </row>
    <row r="1117">
      <c r="A1117" s="5"/>
      <c r="B1117" s="6"/>
      <c r="C1117" s="5"/>
      <c r="D1117" s="5"/>
      <c r="E1117" s="9"/>
      <c r="F1117" s="5"/>
      <c r="G1117" s="5"/>
      <c r="H1117" s="10"/>
      <c r="I1117" s="6"/>
      <c r="J1117" s="6"/>
      <c r="K1117" s="6"/>
      <c r="L1117" s="6"/>
      <c r="M1117" s="6"/>
      <c r="N1117" s="6"/>
      <c r="O1117" s="6"/>
      <c r="P1117" s="10"/>
      <c r="Q1117" s="6"/>
      <c r="R1117" s="6"/>
    </row>
    <row r="1118">
      <c r="A1118" s="5"/>
      <c r="B1118" s="6"/>
      <c r="C1118" s="5"/>
      <c r="D1118" s="5"/>
      <c r="E1118" s="9"/>
      <c r="F1118" s="5"/>
      <c r="G1118" s="5"/>
      <c r="H1118" s="10"/>
      <c r="I1118" s="6"/>
      <c r="J1118" s="6"/>
      <c r="K1118" s="6"/>
      <c r="L1118" s="6"/>
      <c r="M1118" s="6"/>
      <c r="N1118" s="6"/>
      <c r="O1118" s="6"/>
      <c r="P1118" s="10"/>
      <c r="Q1118" s="6"/>
      <c r="R1118" s="6"/>
    </row>
    <row r="1119">
      <c r="A1119" s="5"/>
      <c r="B1119" s="6"/>
      <c r="C1119" s="5"/>
      <c r="D1119" s="5"/>
      <c r="E1119" s="9"/>
      <c r="F1119" s="5"/>
      <c r="G1119" s="5"/>
      <c r="H1119" s="10"/>
      <c r="I1119" s="6"/>
      <c r="J1119" s="6"/>
      <c r="K1119" s="6"/>
      <c r="L1119" s="6"/>
      <c r="M1119" s="6"/>
      <c r="N1119" s="6"/>
      <c r="O1119" s="6"/>
      <c r="P1119" s="10"/>
      <c r="Q1119" s="6"/>
      <c r="R1119" s="6"/>
    </row>
    <row r="1120">
      <c r="A1120" s="5"/>
      <c r="B1120" s="6"/>
      <c r="C1120" s="5"/>
      <c r="D1120" s="5"/>
      <c r="E1120" s="9"/>
      <c r="F1120" s="5"/>
      <c r="G1120" s="5"/>
      <c r="H1120" s="10"/>
      <c r="I1120" s="6"/>
      <c r="J1120" s="6"/>
      <c r="K1120" s="6"/>
      <c r="L1120" s="6"/>
      <c r="M1120" s="6"/>
      <c r="N1120" s="6"/>
      <c r="O1120" s="6"/>
      <c r="P1120" s="10"/>
      <c r="Q1120" s="6"/>
      <c r="R1120" s="6"/>
    </row>
    <row r="1121">
      <c r="A1121" s="5"/>
      <c r="B1121" s="6"/>
      <c r="C1121" s="5"/>
      <c r="D1121" s="5"/>
      <c r="E1121" s="9"/>
      <c r="F1121" s="5"/>
      <c r="G1121" s="5"/>
      <c r="H1121" s="10"/>
      <c r="I1121" s="6"/>
      <c r="J1121" s="6"/>
      <c r="K1121" s="6"/>
      <c r="L1121" s="6"/>
      <c r="M1121" s="6"/>
      <c r="N1121" s="6"/>
      <c r="O1121" s="6"/>
      <c r="P1121" s="10"/>
      <c r="Q1121" s="6"/>
      <c r="R1121" s="6"/>
    </row>
    <row r="1122">
      <c r="A1122" s="5"/>
      <c r="B1122" s="6"/>
      <c r="C1122" s="5"/>
      <c r="D1122" s="5"/>
      <c r="E1122" s="9"/>
      <c r="F1122" s="5"/>
      <c r="G1122" s="5"/>
      <c r="H1122" s="10"/>
      <c r="I1122" s="6"/>
      <c r="J1122" s="6"/>
      <c r="K1122" s="6"/>
      <c r="L1122" s="6"/>
      <c r="M1122" s="6"/>
      <c r="N1122" s="6"/>
      <c r="O1122" s="6"/>
      <c r="P1122" s="10"/>
      <c r="Q1122" s="6"/>
      <c r="R1122" s="6"/>
    </row>
    <row r="1123">
      <c r="A1123" s="5"/>
      <c r="B1123" s="6"/>
      <c r="C1123" s="5"/>
      <c r="D1123" s="5"/>
      <c r="E1123" s="9"/>
      <c r="F1123" s="5"/>
      <c r="G1123" s="5"/>
      <c r="H1123" s="10"/>
      <c r="I1123" s="6"/>
      <c r="J1123" s="6"/>
      <c r="K1123" s="6"/>
      <c r="L1123" s="6"/>
      <c r="M1123" s="6"/>
      <c r="N1123" s="6"/>
      <c r="O1123" s="6"/>
      <c r="P1123" s="10"/>
      <c r="Q1123" s="6"/>
      <c r="R1123" s="6"/>
    </row>
    <row r="1124">
      <c r="A1124" s="5"/>
      <c r="B1124" s="6"/>
      <c r="C1124" s="5"/>
      <c r="D1124" s="5"/>
      <c r="E1124" s="9"/>
      <c r="F1124" s="5"/>
      <c r="G1124" s="5"/>
      <c r="H1124" s="10"/>
      <c r="I1124" s="6"/>
      <c r="J1124" s="6"/>
      <c r="K1124" s="6"/>
      <c r="L1124" s="6"/>
      <c r="M1124" s="6"/>
      <c r="N1124" s="6"/>
      <c r="O1124" s="6"/>
      <c r="P1124" s="10"/>
      <c r="Q1124" s="6"/>
      <c r="R1124" s="6"/>
    </row>
    <row r="1125">
      <c r="A1125" s="5"/>
      <c r="B1125" s="6"/>
      <c r="C1125" s="5"/>
      <c r="D1125" s="5"/>
      <c r="E1125" s="9"/>
      <c r="F1125" s="5"/>
      <c r="G1125" s="5"/>
      <c r="H1125" s="10"/>
      <c r="I1125" s="6"/>
      <c r="J1125" s="6"/>
      <c r="K1125" s="6"/>
      <c r="L1125" s="6"/>
      <c r="M1125" s="6"/>
      <c r="N1125" s="6"/>
      <c r="O1125" s="6"/>
      <c r="P1125" s="10"/>
      <c r="Q1125" s="6"/>
      <c r="R1125" s="6"/>
    </row>
    <row r="1126">
      <c r="A1126" s="5"/>
      <c r="B1126" s="6"/>
      <c r="C1126" s="5"/>
      <c r="D1126" s="5"/>
      <c r="E1126" s="9"/>
      <c r="F1126" s="5"/>
      <c r="G1126" s="5"/>
      <c r="H1126" s="10"/>
      <c r="I1126" s="6"/>
      <c r="J1126" s="6"/>
      <c r="K1126" s="6"/>
      <c r="L1126" s="6"/>
      <c r="M1126" s="6"/>
      <c r="N1126" s="6"/>
      <c r="O1126" s="6"/>
      <c r="P1126" s="10"/>
      <c r="Q1126" s="6"/>
      <c r="R1126" s="6"/>
    </row>
    <row r="1127">
      <c r="A1127" s="5"/>
      <c r="B1127" s="6"/>
      <c r="C1127" s="5"/>
      <c r="D1127" s="5"/>
      <c r="E1127" s="9"/>
      <c r="F1127" s="5"/>
      <c r="G1127" s="5"/>
      <c r="H1127" s="10"/>
      <c r="I1127" s="6"/>
      <c r="J1127" s="6"/>
      <c r="K1127" s="6"/>
      <c r="L1127" s="6"/>
      <c r="M1127" s="6"/>
      <c r="N1127" s="6"/>
      <c r="O1127" s="6"/>
      <c r="P1127" s="10"/>
      <c r="Q1127" s="6"/>
      <c r="R1127" s="6"/>
    </row>
    <row r="1128">
      <c r="A1128" s="5"/>
      <c r="B1128" s="6"/>
      <c r="C1128" s="5"/>
      <c r="D1128" s="5"/>
      <c r="E1128" s="9"/>
      <c r="F1128" s="5"/>
      <c r="G1128" s="5"/>
      <c r="H1128" s="10"/>
      <c r="I1128" s="6"/>
      <c r="J1128" s="6"/>
      <c r="K1128" s="6"/>
      <c r="L1128" s="6"/>
      <c r="M1128" s="6"/>
      <c r="N1128" s="6"/>
      <c r="O1128" s="6"/>
      <c r="P1128" s="10"/>
      <c r="Q1128" s="6"/>
      <c r="R1128" s="6"/>
    </row>
    <row r="1129">
      <c r="A1129" s="5"/>
      <c r="B1129" s="6"/>
      <c r="C1129" s="5"/>
      <c r="D1129" s="5"/>
      <c r="E1129" s="9"/>
      <c r="F1129" s="5"/>
      <c r="G1129" s="5"/>
      <c r="H1129" s="10"/>
      <c r="I1129" s="6"/>
      <c r="J1129" s="6"/>
      <c r="K1129" s="6"/>
      <c r="L1129" s="6"/>
      <c r="M1129" s="6"/>
      <c r="N1129" s="6"/>
      <c r="O1129" s="6"/>
      <c r="P1129" s="10"/>
      <c r="Q1129" s="6"/>
      <c r="R1129" s="6"/>
    </row>
    <row r="1130">
      <c r="A1130" s="5"/>
      <c r="B1130" s="6"/>
      <c r="C1130" s="5"/>
      <c r="D1130" s="5"/>
      <c r="E1130" s="9"/>
      <c r="F1130" s="5"/>
      <c r="G1130" s="5"/>
      <c r="H1130" s="10"/>
      <c r="I1130" s="6"/>
      <c r="J1130" s="6"/>
      <c r="K1130" s="6"/>
      <c r="L1130" s="6"/>
      <c r="M1130" s="6"/>
      <c r="N1130" s="6"/>
      <c r="O1130" s="6"/>
      <c r="P1130" s="10"/>
      <c r="Q1130" s="6"/>
      <c r="R1130" s="6"/>
    </row>
    <row r="1131">
      <c r="A1131" s="5"/>
      <c r="B1131" s="6"/>
      <c r="C1131" s="5"/>
      <c r="D1131" s="5"/>
      <c r="E1131" s="9"/>
      <c r="F1131" s="5"/>
      <c r="G1131" s="5"/>
      <c r="H1131" s="10"/>
      <c r="I1131" s="6"/>
      <c r="J1131" s="6"/>
      <c r="K1131" s="6"/>
      <c r="L1131" s="6"/>
      <c r="M1131" s="6"/>
      <c r="N1131" s="6"/>
      <c r="O1131" s="6"/>
      <c r="P1131" s="10"/>
      <c r="Q1131" s="6"/>
      <c r="R1131" s="6"/>
    </row>
    <row r="1132">
      <c r="A1132" s="5"/>
      <c r="B1132" s="6"/>
      <c r="C1132" s="5"/>
      <c r="D1132" s="5"/>
      <c r="E1132" s="9"/>
      <c r="F1132" s="5"/>
      <c r="G1132" s="5"/>
      <c r="H1132" s="10"/>
      <c r="I1132" s="6"/>
      <c r="J1132" s="6"/>
      <c r="K1132" s="6"/>
      <c r="L1132" s="6"/>
      <c r="M1132" s="6"/>
      <c r="N1132" s="6"/>
      <c r="O1132" s="6"/>
      <c r="P1132" s="10"/>
      <c r="Q1132" s="6"/>
      <c r="R1132" s="6"/>
    </row>
    <row r="1133">
      <c r="A1133" s="5"/>
      <c r="B1133" s="6"/>
      <c r="C1133" s="5"/>
      <c r="D1133" s="5"/>
      <c r="E1133" s="9"/>
      <c r="F1133" s="5"/>
      <c r="G1133" s="5"/>
      <c r="H1133" s="10"/>
      <c r="I1133" s="6"/>
      <c r="J1133" s="6"/>
      <c r="K1133" s="6"/>
      <c r="L1133" s="6"/>
      <c r="M1133" s="6"/>
      <c r="N1133" s="6"/>
      <c r="O1133" s="6"/>
      <c r="P1133" s="10"/>
      <c r="Q1133" s="6"/>
      <c r="R1133" s="6"/>
    </row>
    <row r="1134">
      <c r="A1134" s="5"/>
      <c r="B1134" s="6"/>
      <c r="C1134" s="5"/>
      <c r="D1134" s="5"/>
      <c r="E1134" s="9"/>
      <c r="F1134" s="5"/>
      <c r="G1134" s="5"/>
      <c r="H1134" s="10"/>
      <c r="I1134" s="6"/>
      <c r="J1134" s="6"/>
      <c r="K1134" s="6"/>
      <c r="L1134" s="6"/>
      <c r="M1134" s="6"/>
      <c r="N1134" s="6"/>
      <c r="O1134" s="6"/>
      <c r="P1134" s="10"/>
      <c r="Q1134" s="6"/>
      <c r="R1134" s="6"/>
    </row>
    <row r="1135">
      <c r="A1135" s="5"/>
      <c r="B1135" s="6"/>
      <c r="C1135" s="5"/>
      <c r="D1135" s="5"/>
      <c r="E1135" s="9"/>
      <c r="F1135" s="5"/>
      <c r="G1135" s="5"/>
      <c r="H1135" s="10"/>
      <c r="I1135" s="6"/>
      <c r="J1135" s="6"/>
      <c r="K1135" s="6"/>
      <c r="L1135" s="6"/>
      <c r="M1135" s="6"/>
      <c r="N1135" s="6"/>
      <c r="O1135" s="6"/>
      <c r="P1135" s="10"/>
      <c r="Q1135" s="6"/>
      <c r="R1135" s="6"/>
    </row>
    <row r="1136">
      <c r="A1136" s="5"/>
      <c r="B1136" s="6"/>
      <c r="C1136" s="5"/>
      <c r="D1136" s="5"/>
      <c r="E1136" s="9"/>
      <c r="F1136" s="5"/>
      <c r="G1136" s="5"/>
      <c r="H1136" s="10"/>
      <c r="I1136" s="6"/>
      <c r="J1136" s="6"/>
      <c r="K1136" s="6"/>
      <c r="L1136" s="6"/>
      <c r="M1136" s="6"/>
      <c r="N1136" s="6"/>
      <c r="O1136" s="6"/>
      <c r="P1136" s="10"/>
      <c r="Q1136" s="6"/>
      <c r="R1136" s="6"/>
    </row>
    <row r="1137">
      <c r="A1137" s="5"/>
      <c r="B1137" s="6"/>
      <c r="C1137" s="5"/>
      <c r="D1137" s="5"/>
      <c r="E1137" s="9"/>
      <c r="F1137" s="5"/>
      <c r="G1137" s="5"/>
      <c r="H1137" s="10"/>
      <c r="I1137" s="6"/>
      <c r="J1137" s="6"/>
      <c r="K1137" s="6"/>
      <c r="L1137" s="6"/>
      <c r="M1137" s="6"/>
      <c r="N1137" s="6"/>
      <c r="O1137" s="6"/>
      <c r="P1137" s="10"/>
      <c r="Q1137" s="6"/>
      <c r="R1137" s="6"/>
    </row>
    <row r="1138">
      <c r="A1138" s="5"/>
      <c r="B1138" s="6"/>
      <c r="C1138" s="5"/>
      <c r="D1138" s="5"/>
      <c r="E1138" s="9"/>
      <c r="F1138" s="5"/>
      <c r="G1138" s="5"/>
      <c r="H1138" s="10"/>
      <c r="I1138" s="6"/>
      <c r="J1138" s="6"/>
      <c r="K1138" s="6"/>
      <c r="L1138" s="6"/>
      <c r="M1138" s="6"/>
      <c r="N1138" s="6"/>
      <c r="O1138" s="6"/>
      <c r="P1138" s="10"/>
      <c r="Q1138" s="6"/>
      <c r="R1138" s="6"/>
    </row>
    <row r="1139">
      <c r="A1139" s="5"/>
      <c r="B1139" s="6"/>
      <c r="C1139" s="5"/>
      <c r="D1139" s="5"/>
      <c r="E1139" s="9"/>
      <c r="F1139" s="5"/>
      <c r="G1139" s="5"/>
      <c r="H1139" s="10"/>
      <c r="I1139" s="6"/>
      <c r="J1139" s="6"/>
      <c r="K1139" s="6"/>
      <c r="L1139" s="6"/>
      <c r="M1139" s="6"/>
      <c r="N1139" s="6"/>
      <c r="O1139" s="6"/>
      <c r="P1139" s="10"/>
      <c r="Q1139" s="6"/>
      <c r="R1139" s="6"/>
    </row>
    <row r="1140">
      <c r="A1140" s="5"/>
      <c r="B1140" s="6"/>
      <c r="C1140" s="5"/>
      <c r="D1140" s="5"/>
      <c r="E1140" s="9"/>
      <c r="F1140" s="5"/>
      <c r="G1140" s="5"/>
      <c r="H1140" s="10"/>
      <c r="I1140" s="6"/>
      <c r="J1140" s="6"/>
      <c r="K1140" s="6"/>
      <c r="L1140" s="6"/>
      <c r="M1140" s="6"/>
      <c r="N1140" s="6"/>
      <c r="O1140" s="6"/>
      <c r="P1140" s="10"/>
      <c r="Q1140" s="6"/>
      <c r="R1140" s="6"/>
    </row>
    <row r="1141">
      <c r="A1141" s="5"/>
      <c r="B1141" s="6"/>
      <c r="C1141" s="5"/>
      <c r="D1141" s="5"/>
      <c r="E1141" s="9"/>
      <c r="F1141" s="5"/>
      <c r="G1141" s="5"/>
      <c r="H1141" s="10"/>
      <c r="I1141" s="6"/>
      <c r="J1141" s="6"/>
      <c r="K1141" s="6"/>
      <c r="L1141" s="6"/>
      <c r="M1141" s="6"/>
      <c r="N1141" s="6"/>
      <c r="O1141" s="6"/>
      <c r="P1141" s="10"/>
      <c r="Q1141" s="6"/>
      <c r="R1141" s="6"/>
    </row>
    <row r="1142">
      <c r="A1142" s="5"/>
      <c r="B1142" s="6"/>
      <c r="C1142" s="5"/>
      <c r="D1142" s="5"/>
      <c r="E1142" s="9"/>
      <c r="F1142" s="5"/>
      <c r="G1142" s="5"/>
      <c r="H1142" s="10"/>
      <c r="I1142" s="6"/>
      <c r="J1142" s="6"/>
      <c r="K1142" s="6"/>
      <c r="L1142" s="6"/>
      <c r="M1142" s="6"/>
      <c r="N1142" s="6"/>
      <c r="O1142" s="6"/>
      <c r="P1142" s="10"/>
      <c r="Q1142" s="6"/>
      <c r="R1142" s="6"/>
    </row>
    <row r="1143">
      <c r="A1143" s="5"/>
      <c r="B1143" s="6"/>
      <c r="C1143" s="5"/>
      <c r="D1143" s="5"/>
      <c r="E1143" s="9"/>
      <c r="F1143" s="5"/>
      <c r="G1143" s="5"/>
      <c r="H1143" s="10"/>
      <c r="I1143" s="6"/>
      <c r="J1143" s="6"/>
      <c r="K1143" s="6"/>
      <c r="L1143" s="6"/>
      <c r="M1143" s="6"/>
      <c r="N1143" s="6"/>
      <c r="O1143" s="6"/>
      <c r="P1143" s="10"/>
      <c r="Q1143" s="6"/>
      <c r="R1143" s="6"/>
    </row>
    <row r="1144">
      <c r="A1144" s="5"/>
      <c r="B1144" s="6"/>
      <c r="C1144" s="5"/>
      <c r="D1144" s="5"/>
      <c r="E1144" s="9"/>
      <c r="F1144" s="5"/>
      <c r="G1144" s="5"/>
      <c r="H1144" s="10"/>
      <c r="I1144" s="6"/>
      <c r="J1144" s="6"/>
      <c r="K1144" s="6"/>
      <c r="L1144" s="6"/>
      <c r="M1144" s="6"/>
      <c r="N1144" s="6"/>
      <c r="O1144" s="6"/>
      <c r="P1144" s="10"/>
      <c r="Q1144" s="6"/>
      <c r="R1144" s="6"/>
    </row>
    <row r="1145">
      <c r="A1145" s="5"/>
      <c r="B1145" s="6"/>
      <c r="C1145" s="5"/>
      <c r="D1145" s="5"/>
      <c r="E1145" s="9"/>
      <c r="F1145" s="5"/>
      <c r="G1145" s="5"/>
      <c r="H1145" s="10"/>
      <c r="I1145" s="6"/>
      <c r="J1145" s="6"/>
      <c r="K1145" s="6"/>
      <c r="L1145" s="6"/>
      <c r="M1145" s="6"/>
      <c r="N1145" s="6"/>
      <c r="O1145" s="6"/>
      <c r="P1145" s="10"/>
      <c r="Q1145" s="6"/>
      <c r="R1145" s="6"/>
    </row>
    <row r="1146">
      <c r="A1146" s="5"/>
      <c r="B1146" s="6"/>
      <c r="C1146" s="5"/>
      <c r="D1146" s="5"/>
      <c r="E1146" s="9"/>
      <c r="F1146" s="5"/>
      <c r="G1146" s="5"/>
      <c r="H1146" s="10"/>
      <c r="I1146" s="6"/>
      <c r="J1146" s="6"/>
      <c r="K1146" s="6"/>
      <c r="L1146" s="6"/>
      <c r="M1146" s="6"/>
      <c r="N1146" s="6"/>
      <c r="O1146" s="6"/>
      <c r="P1146" s="10"/>
      <c r="Q1146" s="6"/>
      <c r="R1146" s="6"/>
    </row>
    <row r="1147">
      <c r="A1147" s="5"/>
      <c r="B1147" s="6"/>
      <c r="C1147" s="5"/>
      <c r="D1147" s="5"/>
      <c r="E1147" s="9"/>
      <c r="F1147" s="5"/>
      <c r="G1147" s="5"/>
      <c r="H1147" s="10"/>
      <c r="I1147" s="6"/>
      <c r="J1147" s="6"/>
      <c r="K1147" s="6"/>
      <c r="L1147" s="6"/>
      <c r="M1147" s="6"/>
      <c r="N1147" s="6"/>
      <c r="O1147" s="6"/>
      <c r="P1147" s="10"/>
      <c r="Q1147" s="6"/>
      <c r="R1147" s="6"/>
    </row>
    <row r="1148">
      <c r="A1148" s="5"/>
      <c r="B1148" s="6"/>
      <c r="C1148" s="5"/>
      <c r="D1148" s="5"/>
      <c r="E1148" s="9"/>
      <c r="F1148" s="5"/>
      <c r="G1148" s="5"/>
      <c r="H1148" s="10"/>
      <c r="I1148" s="6"/>
      <c r="J1148" s="6"/>
      <c r="K1148" s="6"/>
      <c r="L1148" s="6"/>
      <c r="M1148" s="6"/>
      <c r="N1148" s="6"/>
      <c r="O1148" s="6"/>
      <c r="P1148" s="10"/>
      <c r="Q1148" s="6"/>
      <c r="R1148" s="6"/>
    </row>
    <row r="1149">
      <c r="A1149" s="5"/>
      <c r="B1149" s="6"/>
      <c r="C1149" s="5"/>
      <c r="D1149" s="5"/>
      <c r="E1149" s="9"/>
      <c r="F1149" s="5"/>
      <c r="G1149" s="5"/>
      <c r="H1149" s="10"/>
      <c r="I1149" s="6"/>
      <c r="J1149" s="6"/>
      <c r="K1149" s="6"/>
      <c r="L1149" s="6"/>
      <c r="M1149" s="6"/>
      <c r="N1149" s="6"/>
      <c r="O1149" s="6"/>
      <c r="P1149" s="10"/>
      <c r="Q1149" s="6"/>
      <c r="R1149" s="6"/>
    </row>
    <row r="1150">
      <c r="A1150" s="5"/>
      <c r="B1150" s="6"/>
      <c r="C1150" s="5"/>
      <c r="D1150" s="5"/>
      <c r="E1150" s="9"/>
      <c r="F1150" s="5"/>
      <c r="G1150" s="5"/>
      <c r="H1150" s="10"/>
      <c r="I1150" s="6"/>
      <c r="J1150" s="6"/>
      <c r="K1150" s="6"/>
      <c r="L1150" s="6"/>
      <c r="M1150" s="6"/>
      <c r="N1150" s="6"/>
      <c r="O1150" s="6"/>
      <c r="P1150" s="10"/>
      <c r="Q1150" s="6"/>
      <c r="R1150" s="6"/>
    </row>
    <row r="1151">
      <c r="A1151" s="5"/>
      <c r="B1151" s="6"/>
      <c r="C1151" s="5"/>
      <c r="D1151" s="5"/>
      <c r="E1151" s="9"/>
      <c r="F1151" s="5"/>
      <c r="G1151" s="5"/>
      <c r="H1151" s="10"/>
      <c r="I1151" s="6"/>
      <c r="J1151" s="6"/>
      <c r="K1151" s="6"/>
      <c r="L1151" s="6"/>
      <c r="M1151" s="6"/>
      <c r="N1151" s="6"/>
      <c r="O1151" s="6"/>
      <c r="P1151" s="10"/>
      <c r="Q1151" s="6"/>
      <c r="R1151" s="6"/>
    </row>
    <row r="1152">
      <c r="A1152" s="5"/>
      <c r="B1152" s="6"/>
      <c r="C1152" s="5"/>
      <c r="D1152" s="5"/>
      <c r="E1152" s="9"/>
      <c r="F1152" s="5"/>
      <c r="G1152" s="5"/>
      <c r="H1152" s="10"/>
      <c r="I1152" s="6"/>
      <c r="J1152" s="6"/>
      <c r="K1152" s="6"/>
      <c r="L1152" s="6"/>
      <c r="M1152" s="6"/>
      <c r="N1152" s="6"/>
      <c r="O1152" s="6"/>
      <c r="P1152" s="10"/>
      <c r="Q1152" s="6"/>
      <c r="R1152" s="6"/>
    </row>
    <row r="1153">
      <c r="A1153" s="5"/>
      <c r="B1153" s="6"/>
      <c r="C1153" s="5"/>
      <c r="D1153" s="5"/>
      <c r="E1153" s="9"/>
      <c r="F1153" s="5"/>
      <c r="G1153" s="5"/>
      <c r="H1153" s="10"/>
      <c r="I1153" s="6"/>
      <c r="J1153" s="6"/>
      <c r="K1153" s="6"/>
      <c r="L1153" s="6"/>
      <c r="M1153" s="6"/>
      <c r="N1153" s="6"/>
      <c r="O1153" s="6"/>
      <c r="P1153" s="10"/>
      <c r="Q1153" s="6"/>
      <c r="R1153" s="6"/>
    </row>
    <row r="1154">
      <c r="A1154" s="5"/>
      <c r="B1154" s="6"/>
      <c r="C1154" s="5"/>
      <c r="D1154" s="5"/>
      <c r="E1154" s="9"/>
      <c r="F1154" s="5"/>
      <c r="G1154" s="5"/>
      <c r="H1154" s="10"/>
      <c r="I1154" s="6"/>
      <c r="J1154" s="6"/>
      <c r="K1154" s="6"/>
      <c r="L1154" s="6"/>
      <c r="M1154" s="6"/>
      <c r="N1154" s="6"/>
      <c r="O1154" s="6"/>
      <c r="P1154" s="10"/>
      <c r="Q1154" s="6"/>
      <c r="R1154" s="6"/>
    </row>
    <row r="1155">
      <c r="A1155" s="5"/>
      <c r="B1155" s="6"/>
      <c r="C1155" s="5"/>
      <c r="D1155" s="5"/>
      <c r="E1155" s="9"/>
      <c r="F1155" s="5"/>
      <c r="G1155" s="5"/>
      <c r="H1155" s="10"/>
      <c r="I1155" s="6"/>
      <c r="J1155" s="6"/>
      <c r="K1155" s="6"/>
      <c r="L1155" s="6"/>
      <c r="M1155" s="6"/>
      <c r="N1155" s="6"/>
      <c r="O1155" s="6"/>
      <c r="P1155" s="10"/>
      <c r="Q1155" s="6"/>
      <c r="R1155" s="6"/>
    </row>
    <row r="1156">
      <c r="A1156" s="5"/>
      <c r="B1156" s="6"/>
      <c r="C1156" s="5"/>
      <c r="D1156" s="5"/>
      <c r="E1156" s="9"/>
      <c r="F1156" s="5"/>
      <c r="G1156" s="5"/>
      <c r="H1156" s="10"/>
      <c r="I1156" s="6"/>
      <c r="J1156" s="6"/>
      <c r="K1156" s="6"/>
      <c r="L1156" s="6"/>
      <c r="M1156" s="6"/>
      <c r="N1156" s="6"/>
      <c r="O1156" s="6"/>
      <c r="P1156" s="10"/>
      <c r="Q1156" s="6"/>
      <c r="R1156" s="6"/>
    </row>
    <row r="1157">
      <c r="A1157" s="5"/>
      <c r="B1157" s="6"/>
      <c r="C1157" s="5"/>
      <c r="D1157" s="5"/>
      <c r="E1157" s="9"/>
      <c r="F1157" s="5"/>
      <c r="G1157" s="5"/>
      <c r="H1157" s="10"/>
      <c r="I1157" s="6"/>
      <c r="J1157" s="6"/>
      <c r="K1157" s="6"/>
      <c r="L1157" s="6"/>
      <c r="M1157" s="6"/>
      <c r="N1157" s="6"/>
      <c r="O1157" s="6"/>
      <c r="P1157" s="10"/>
      <c r="Q1157" s="6"/>
      <c r="R1157" s="6"/>
    </row>
    <row r="1158">
      <c r="A1158" s="5"/>
      <c r="B1158" s="6"/>
      <c r="C1158" s="5"/>
      <c r="D1158" s="5"/>
      <c r="E1158" s="9"/>
      <c r="F1158" s="5"/>
      <c r="G1158" s="5"/>
      <c r="H1158" s="10"/>
      <c r="I1158" s="6"/>
      <c r="J1158" s="6"/>
      <c r="K1158" s="6"/>
      <c r="L1158" s="6"/>
      <c r="M1158" s="6"/>
      <c r="N1158" s="6"/>
      <c r="O1158" s="6"/>
      <c r="P1158" s="10"/>
      <c r="Q1158" s="6"/>
      <c r="R1158" s="6"/>
    </row>
    <row r="1159">
      <c r="A1159" s="5"/>
      <c r="B1159" s="6"/>
      <c r="C1159" s="5"/>
      <c r="D1159" s="5"/>
      <c r="E1159" s="9"/>
      <c r="F1159" s="5"/>
      <c r="G1159" s="5"/>
      <c r="H1159" s="10"/>
      <c r="I1159" s="6"/>
      <c r="J1159" s="6"/>
      <c r="K1159" s="6"/>
      <c r="L1159" s="6"/>
      <c r="M1159" s="6"/>
      <c r="N1159" s="6"/>
      <c r="O1159" s="6"/>
      <c r="P1159" s="10"/>
      <c r="Q1159" s="6"/>
      <c r="R1159" s="6"/>
    </row>
    <row r="1160">
      <c r="A1160" s="5"/>
      <c r="B1160" s="6"/>
      <c r="C1160" s="5"/>
      <c r="D1160" s="5"/>
      <c r="E1160" s="9"/>
      <c r="F1160" s="5"/>
      <c r="G1160" s="5"/>
      <c r="H1160" s="10"/>
      <c r="I1160" s="6"/>
      <c r="J1160" s="6"/>
      <c r="K1160" s="6"/>
      <c r="L1160" s="6"/>
      <c r="M1160" s="6"/>
      <c r="N1160" s="6"/>
      <c r="O1160" s="6"/>
      <c r="P1160" s="10"/>
      <c r="Q1160" s="6"/>
      <c r="R1160" s="6"/>
    </row>
    <row r="1161">
      <c r="A1161" s="5"/>
      <c r="B1161" s="6"/>
      <c r="C1161" s="5"/>
      <c r="D1161" s="5"/>
      <c r="E1161" s="9"/>
      <c r="F1161" s="5"/>
      <c r="G1161" s="5"/>
      <c r="H1161" s="10"/>
      <c r="I1161" s="6"/>
      <c r="J1161" s="6"/>
      <c r="K1161" s="6"/>
      <c r="L1161" s="6"/>
      <c r="M1161" s="6"/>
      <c r="N1161" s="6"/>
      <c r="O1161" s="6"/>
      <c r="P1161" s="10"/>
      <c r="Q1161" s="6"/>
      <c r="R1161" s="6"/>
    </row>
    <row r="1162">
      <c r="A1162" s="5"/>
      <c r="B1162" s="6"/>
      <c r="C1162" s="5"/>
      <c r="D1162" s="5"/>
      <c r="E1162" s="9"/>
      <c r="F1162" s="5"/>
      <c r="G1162" s="5"/>
      <c r="H1162" s="10"/>
      <c r="I1162" s="6"/>
      <c r="J1162" s="6"/>
      <c r="K1162" s="6"/>
      <c r="L1162" s="6"/>
      <c r="M1162" s="6"/>
      <c r="N1162" s="6"/>
      <c r="O1162" s="6"/>
      <c r="P1162" s="10"/>
      <c r="Q1162" s="6"/>
      <c r="R1162" s="6"/>
    </row>
    <row r="1163">
      <c r="A1163" s="5"/>
      <c r="B1163" s="6"/>
      <c r="C1163" s="5"/>
      <c r="D1163" s="5"/>
      <c r="E1163" s="9"/>
      <c r="F1163" s="5"/>
      <c r="G1163" s="5"/>
      <c r="H1163" s="10"/>
      <c r="I1163" s="6"/>
      <c r="J1163" s="6"/>
      <c r="K1163" s="6"/>
      <c r="L1163" s="6"/>
      <c r="M1163" s="6"/>
      <c r="N1163" s="6"/>
      <c r="O1163" s="6"/>
      <c r="P1163" s="10"/>
      <c r="Q1163" s="6"/>
      <c r="R1163" s="6"/>
    </row>
    <row r="1164">
      <c r="A1164" s="5"/>
      <c r="B1164" s="6"/>
      <c r="C1164" s="5"/>
      <c r="D1164" s="5"/>
      <c r="E1164" s="9"/>
      <c r="F1164" s="5"/>
      <c r="G1164" s="5"/>
      <c r="H1164" s="10"/>
      <c r="I1164" s="6"/>
      <c r="J1164" s="6"/>
      <c r="K1164" s="6"/>
      <c r="L1164" s="6"/>
      <c r="M1164" s="6"/>
      <c r="N1164" s="6"/>
      <c r="O1164" s="6"/>
      <c r="P1164" s="10"/>
      <c r="Q1164" s="6"/>
      <c r="R1164" s="6"/>
    </row>
    <row r="1165">
      <c r="A1165" s="5"/>
      <c r="B1165" s="6"/>
      <c r="C1165" s="5"/>
      <c r="D1165" s="5"/>
      <c r="E1165" s="9"/>
      <c r="F1165" s="5"/>
      <c r="G1165" s="5"/>
      <c r="H1165" s="10"/>
      <c r="I1165" s="6"/>
      <c r="J1165" s="6"/>
      <c r="K1165" s="6"/>
      <c r="L1165" s="6"/>
      <c r="M1165" s="6"/>
      <c r="N1165" s="6"/>
      <c r="O1165" s="6"/>
      <c r="P1165" s="10"/>
      <c r="Q1165" s="6"/>
      <c r="R1165" s="6"/>
    </row>
    <row r="1166">
      <c r="A1166" s="5"/>
      <c r="B1166" s="6"/>
      <c r="C1166" s="5"/>
      <c r="D1166" s="5"/>
      <c r="E1166" s="9"/>
      <c r="F1166" s="5"/>
      <c r="G1166" s="5"/>
      <c r="H1166" s="10"/>
      <c r="I1166" s="6"/>
      <c r="J1166" s="6"/>
      <c r="K1166" s="6"/>
      <c r="L1166" s="6"/>
      <c r="M1166" s="6"/>
      <c r="N1166" s="6"/>
      <c r="O1166" s="6"/>
      <c r="P1166" s="10"/>
      <c r="Q1166" s="6"/>
      <c r="R1166" s="6"/>
    </row>
    <row r="1167">
      <c r="A1167" s="5"/>
      <c r="B1167" s="6"/>
      <c r="C1167" s="5"/>
      <c r="D1167" s="5"/>
      <c r="E1167" s="9"/>
      <c r="F1167" s="5"/>
      <c r="G1167" s="5"/>
      <c r="H1167" s="10"/>
      <c r="I1167" s="6"/>
      <c r="J1167" s="6"/>
      <c r="K1167" s="6"/>
      <c r="L1167" s="6"/>
      <c r="M1167" s="6"/>
      <c r="N1167" s="6"/>
      <c r="O1167" s="6"/>
      <c r="P1167" s="10"/>
      <c r="Q1167" s="6"/>
      <c r="R1167" s="6"/>
    </row>
    <row r="1168">
      <c r="A1168" s="5"/>
      <c r="B1168" s="6"/>
      <c r="C1168" s="5"/>
      <c r="D1168" s="5"/>
      <c r="E1168" s="9"/>
      <c r="F1168" s="5"/>
      <c r="G1168" s="5"/>
      <c r="H1168" s="10"/>
      <c r="I1168" s="6"/>
      <c r="J1168" s="6"/>
      <c r="K1168" s="6"/>
      <c r="L1168" s="6"/>
      <c r="M1168" s="6"/>
      <c r="N1168" s="6"/>
      <c r="O1168" s="6"/>
      <c r="P1168" s="10"/>
      <c r="Q1168" s="6"/>
      <c r="R1168" s="6"/>
    </row>
    <row r="1169">
      <c r="A1169" s="5"/>
      <c r="B1169" s="6"/>
      <c r="C1169" s="5"/>
      <c r="D1169" s="5"/>
      <c r="E1169" s="9"/>
      <c r="F1169" s="5"/>
      <c r="G1169" s="5"/>
      <c r="H1169" s="10"/>
      <c r="I1169" s="6"/>
      <c r="J1169" s="6"/>
      <c r="K1169" s="6"/>
      <c r="L1169" s="6"/>
      <c r="M1169" s="6"/>
      <c r="N1169" s="6"/>
      <c r="O1169" s="6"/>
      <c r="P1169" s="10"/>
      <c r="Q1169" s="6"/>
      <c r="R1169" s="6"/>
    </row>
    <row r="1170">
      <c r="A1170" s="5"/>
      <c r="B1170" s="6"/>
      <c r="C1170" s="5"/>
      <c r="D1170" s="5"/>
      <c r="E1170" s="9"/>
      <c r="F1170" s="5"/>
      <c r="G1170" s="5"/>
      <c r="H1170" s="10"/>
      <c r="I1170" s="6"/>
      <c r="J1170" s="6"/>
      <c r="K1170" s="6"/>
      <c r="L1170" s="6"/>
      <c r="M1170" s="6"/>
      <c r="N1170" s="6"/>
      <c r="O1170" s="6"/>
      <c r="P1170" s="10"/>
      <c r="Q1170" s="6"/>
      <c r="R1170" s="6"/>
    </row>
    <row r="1171">
      <c r="A1171" s="5"/>
      <c r="B1171" s="6"/>
      <c r="C1171" s="5"/>
      <c r="D1171" s="5"/>
      <c r="E1171" s="9"/>
      <c r="F1171" s="5"/>
      <c r="G1171" s="5"/>
      <c r="H1171" s="10"/>
      <c r="I1171" s="6"/>
      <c r="J1171" s="6"/>
      <c r="K1171" s="6"/>
      <c r="L1171" s="6"/>
      <c r="M1171" s="6"/>
      <c r="N1171" s="6"/>
      <c r="O1171" s="6"/>
      <c r="P1171" s="10"/>
      <c r="Q1171" s="6"/>
      <c r="R1171" s="6"/>
    </row>
    <row r="1172">
      <c r="A1172" s="5"/>
      <c r="B1172" s="6"/>
      <c r="C1172" s="5"/>
      <c r="D1172" s="5"/>
      <c r="E1172" s="9"/>
      <c r="F1172" s="5"/>
      <c r="G1172" s="5"/>
      <c r="H1172" s="10"/>
      <c r="I1172" s="6"/>
      <c r="J1172" s="6"/>
      <c r="K1172" s="6"/>
      <c r="L1172" s="6"/>
      <c r="M1172" s="6"/>
      <c r="N1172" s="6"/>
      <c r="O1172" s="6"/>
      <c r="P1172" s="10"/>
      <c r="Q1172" s="6"/>
      <c r="R1172" s="6"/>
    </row>
    <row r="1173">
      <c r="A1173" s="5"/>
      <c r="B1173" s="6"/>
      <c r="C1173" s="5"/>
      <c r="D1173" s="5"/>
      <c r="E1173" s="9"/>
      <c r="F1173" s="5"/>
      <c r="G1173" s="5"/>
      <c r="H1173" s="10"/>
      <c r="I1173" s="6"/>
      <c r="J1173" s="6"/>
      <c r="K1173" s="6"/>
      <c r="L1173" s="6"/>
      <c r="M1173" s="6"/>
      <c r="N1173" s="6"/>
      <c r="O1173" s="6"/>
      <c r="P1173" s="10"/>
      <c r="Q1173" s="6"/>
      <c r="R1173" s="6"/>
    </row>
    <row r="1174">
      <c r="A1174" s="5"/>
      <c r="B1174" s="6"/>
      <c r="C1174" s="5"/>
      <c r="D1174" s="5"/>
      <c r="E1174" s="9"/>
      <c r="F1174" s="5"/>
      <c r="G1174" s="5"/>
      <c r="H1174" s="10"/>
      <c r="I1174" s="6"/>
      <c r="J1174" s="6"/>
      <c r="K1174" s="6"/>
      <c r="L1174" s="6"/>
      <c r="M1174" s="6"/>
      <c r="N1174" s="6"/>
      <c r="O1174" s="6"/>
      <c r="P1174" s="10"/>
      <c r="Q1174" s="6"/>
      <c r="R1174" s="6"/>
    </row>
    <row r="1175">
      <c r="A1175" s="5"/>
      <c r="B1175" s="6"/>
      <c r="C1175" s="5"/>
      <c r="D1175" s="5"/>
      <c r="E1175" s="9"/>
      <c r="F1175" s="5"/>
      <c r="G1175" s="5"/>
      <c r="H1175" s="10"/>
      <c r="I1175" s="6"/>
      <c r="J1175" s="6"/>
      <c r="K1175" s="6"/>
      <c r="L1175" s="6"/>
      <c r="M1175" s="6"/>
      <c r="N1175" s="6"/>
      <c r="O1175" s="6"/>
      <c r="P1175" s="10"/>
      <c r="Q1175" s="6"/>
      <c r="R1175" s="6"/>
    </row>
    <row r="1176">
      <c r="A1176" s="5"/>
      <c r="B1176" s="6"/>
      <c r="C1176" s="5"/>
      <c r="D1176" s="5"/>
      <c r="E1176" s="9"/>
      <c r="F1176" s="5"/>
      <c r="G1176" s="5"/>
      <c r="H1176" s="10"/>
      <c r="I1176" s="6"/>
      <c r="J1176" s="6"/>
      <c r="K1176" s="6"/>
      <c r="L1176" s="6"/>
      <c r="M1176" s="6"/>
      <c r="N1176" s="6"/>
      <c r="O1176" s="6"/>
      <c r="P1176" s="10"/>
      <c r="Q1176" s="6"/>
      <c r="R1176" s="6"/>
    </row>
    <row r="1177">
      <c r="A1177" s="5"/>
      <c r="B1177" s="6"/>
      <c r="C1177" s="5"/>
      <c r="D1177" s="5"/>
      <c r="E1177" s="9"/>
      <c r="F1177" s="5"/>
      <c r="G1177" s="5"/>
      <c r="H1177" s="10"/>
      <c r="I1177" s="6"/>
      <c r="J1177" s="6"/>
      <c r="K1177" s="6"/>
      <c r="L1177" s="6"/>
      <c r="M1177" s="6"/>
      <c r="N1177" s="6"/>
      <c r="O1177" s="6"/>
      <c r="P1177" s="10"/>
      <c r="Q1177" s="6"/>
      <c r="R1177" s="6"/>
    </row>
    <row r="1178">
      <c r="A1178" s="5"/>
      <c r="B1178" s="6"/>
      <c r="C1178" s="5"/>
      <c r="D1178" s="5"/>
      <c r="E1178" s="9"/>
      <c r="F1178" s="5"/>
      <c r="G1178" s="5"/>
      <c r="H1178" s="10"/>
      <c r="I1178" s="6"/>
      <c r="J1178" s="6"/>
      <c r="K1178" s="6"/>
      <c r="L1178" s="6"/>
      <c r="M1178" s="6"/>
      <c r="N1178" s="6"/>
      <c r="O1178" s="6"/>
      <c r="P1178" s="10"/>
      <c r="Q1178" s="6"/>
      <c r="R1178" s="6"/>
    </row>
    <row r="1179">
      <c r="A1179" s="5"/>
      <c r="B1179" s="6"/>
      <c r="C1179" s="5"/>
      <c r="D1179" s="5"/>
      <c r="E1179" s="9"/>
      <c r="F1179" s="5"/>
      <c r="G1179" s="5"/>
      <c r="H1179" s="10"/>
      <c r="I1179" s="6"/>
      <c r="J1179" s="6"/>
      <c r="K1179" s="6"/>
      <c r="L1179" s="6"/>
      <c r="M1179" s="6"/>
      <c r="N1179" s="6"/>
      <c r="O1179" s="6"/>
      <c r="P1179" s="10"/>
      <c r="Q1179" s="6"/>
      <c r="R1179" s="6"/>
    </row>
    <row r="1180">
      <c r="A1180" s="5"/>
      <c r="B1180" s="6"/>
      <c r="C1180" s="5"/>
      <c r="D1180" s="5"/>
      <c r="E1180" s="9"/>
      <c r="F1180" s="5"/>
      <c r="G1180" s="5"/>
      <c r="H1180" s="10"/>
      <c r="I1180" s="6"/>
      <c r="J1180" s="6"/>
      <c r="K1180" s="6"/>
      <c r="L1180" s="6"/>
      <c r="M1180" s="6"/>
      <c r="N1180" s="6"/>
      <c r="O1180" s="6"/>
      <c r="P1180" s="10"/>
      <c r="Q1180" s="6"/>
      <c r="R1180" s="6"/>
    </row>
    <row r="1181">
      <c r="A1181" s="5"/>
      <c r="B1181" s="6"/>
      <c r="C1181" s="5"/>
      <c r="D1181" s="5"/>
      <c r="E1181" s="9"/>
      <c r="F1181" s="5"/>
      <c r="G1181" s="5"/>
      <c r="H1181" s="10"/>
      <c r="I1181" s="6"/>
      <c r="J1181" s="6"/>
      <c r="K1181" s="6"/>
      <c r="L1181" s="6"/>
      <c r="M1181" s="6"/>
      <c r="N1181" s="6"/>
      <c r="O1181" s="6"/>
      <c r="P1181" s="10"/>
      <c r="Q1181" s="6"/>
      <c r="R1181" s="6"/>
    </row>
    <row r="1182">
      <c r="A1182" s="5"/>
      <c r="B1182" s="6"/>
      <c r="C1182" s="5"/>
      <c r="D1182" s="5"/>
      <c r="E1182" s="9"/>
      <c r="F1182" s="5"/>
      <c r="G1182" s="5"/>
      <c r="H1182" s="10"/>
      <c r="I1182" s="6"/>
      <c r="J1182" s="6"/>
      <c r="K1182" s="6"/>
      <c r="L1182" s="6"/>
      <c r="M1182" s="6"/>
      <c r="N1182" s="6"/>
      <c r="O1182" s="6"/>
      <c r="P1182" s="10"/>
      <c r="Q1182" s="6"/>
      <c r="R1182" s="6"/>
    </row>
    <row r="1183">
      <c r="A1183" s="5"/>
      <c r="B1183" s="6"/>
      <c r="C1183" s="5"/>
      <c r="D1183" s="5"/>
      <c r="E1183" s="9"/>
      <c r="F1183" s="5"/>
      <c r="G1183" s="5"/>
      <c r="H1183" s="10"/>
      <c r="I1183" s="6"/>
      <c r="J1183" s="6"/>
      <c r="K1183" s="6"/>
      <c r="L1183" s="6"/>
      <c r="M1183" s="6"/>
      <c r="N1183" s="6"/>
      <c r="O1183" s="6"/>
      <c r="P1183" s="10"/>
      <c r="Q1183" s="6"/>
      <c r="R1183" s="6"/>
    </row>
    <row r="1184">
      <c r="A1184" s="5"/>
      <c r="B1184" s="6"/>
      <c r="C1184" s="5"/>
      <c r="D1184" s="5"/>
      <c r="E1184" s="9"/>
      <c r="F1184" s="5"/>
      <c r="G1184" s="5"/>
      <c r="H1184" s="10"/>
      <c r="I1184" s="6"/>
      <c r="J1184" s="6"/>
      <c r="K1184" s="6"/>
      <c r="L1184" s="6"/>
      <c r="M1184" s="6"/>
      <c r="N1184" s="6"/>
      <c r="O1184" s="6"/>
      <c r="P1184" s="10"/>
      <c r="Q1184" s="6"/>
      <c r="R1184" s="6"/>
    </row>
    <row r="1185">
      <c r="A1185" s="5"/>
      <c r="B1185" s="6"/>
      <c r="C1185" s="5"/>
      <c r="D1185" s="5"/>
      <c r="E1185" s="9"/>
      <c r="F1185" s="5"/>
      <c r="G1185" s="5"/>
      <c r="H1185" s="10"/>
      <c r="I1185" s="6"/>
      <c r="J1185" s="6"/>
      <c r="K1185" s="6"/>
      <c r="L1185" s="6"/>
      <c r="M1185" s="6"/>
      <c r="N1185" s="6"/>
      <c r="O1185" s="6"/>
      <c r="P1185" s="10"/>
      <c r="Q1185" s="6"/>
      <c r="R1185" s="6"/>
    </row>
    <row r="1186">
      <c r="A1186" s="5"/>
      <c r="B1186" s="6"/>
      <c r="C1186" s="5"/>
      <c r="D1186" s="5"/>
      <c r="E1186" s="9"/>
      <c r="F1186" s="5"/>
      <c r="G1186" s="5"/>
      <c r="H1186" s="10"/>
      <c r="I1186" s="6"/>
      <c r="J1186" s="6"/>
      <c r="K1186" s="6"/>
      <c r="L1186" s="6"/>
      <c r="M1186" s="6"/>
      <c r="N1186" s="6"/>
      <c r="O1186" s="6"/>
      <c r="P1186" s="10"/>
      <c r="Q1186" s="6"/>
      <c r="R1186" s="6"/>
    </row>
    <row r="1187">
      <c r="A1187" s="5"/>
      <c r="B1187" s="6"/>
      <c r="C1187" s="5"/>
      <c r="D1187" s="5"/>
      <c r="E1187" s="9"/>
      <c r="F1187" s="5"/>
      <c r="G1187" s="5"/>
      <c r="H1187" s="10"/>
      <c r="I1187" s="6"/>
      <c r="J1187" s="6"/>
      <c r="K1187" s="6"/>
      <c r="L1187" s="6"/>
      <c r="M1187" s="6"/>
      <c r="N1187" s="6"/>
      <c r="O1187" s="6"/>
      <c r="P1187" s="10"/>
      <c r="Q1187" s="6"/>
      <c r="R1187" s="6"/>
    </row>
    <row r="1188">
      <c r="A1188" s="5"/>
      <c r="B1188" s="6"/>
      <c r="C1188" s="5"/>
      <c r="D1188" s="5"/>
      <c r="E1188" s="9"/>
      <c r="F1188" s="5"/>
      <c r="G1188" s="5"/>
      <c r="H1188" s="10"/>
      <c r="I1188" s="6"/>
      <c r="J1188" s="6"/>
      <c r="K1188" s="6"/>
      <c r="L1188" s="6"/>
      <c r="M1188" s="6"/>
      <c r="N1188" s="6"/>
      <c r="O1188" s="6"/>
      <c r="P1188" s="10"/>
      <c r="Q1188" s="6"/>
      <c r="R1188" s="6"/>
    </row>
    <row r="1189">
      <c r="A1189" s="5"/>
      <c r="B1189" s="6"/>
      <c r="C1189" s="5"/>
      <c r="D1189" s="5"/>
      <c r="E1189" s="9"/>
      <c r="F1189" s="5"/>
      <c r="G1189" s="5"/>
      <c r="H1189" s="10"/>
      <c r="I1189" s="6"/>
      <c r="J1189" s="6"/>
      <c r="K1189" s="6"/>
      <c r="L1189" s="6"/>
      <c r="M1189" s="6"/>
      <c r="N1189" s="6"/>
      <c r="O1189" s="6"/>
      <c r="P1189" s="10"/>
      <c r="Q1189" s="6"/>
      <c r="R1189" s="6"/>
    </row>
    <row r="1190">
      <c r="A1190" s="5"/>
      <c r="B1190" s="6"/>
      <c r="C1190" s="5"/>
      <c r="D1190" s="5"/>
      <c r="E1190" s="9"/>
      <c r="F1190" s="5"/>
      <c r="G1190" s="5"/>
      <c r="H1190" s="10"/>
      <c r="I1190" s="6"/>
      <c r="J1190" s="6"/>
      <c r="K1190" s="6"/>
      <c r="L1190" s="6"/>
      <c r="M1190" s="6"/>
      <c r="N1190" s="6"/>
      <c r="O1190" s="6"/>
      <c r="P1190" s="10"/>
      <c r="Q1190" s="6"/>
      <c r="R1190" s="6"/>
    </row>
    <row r="1191">
      <c r="A1191" s="5"/>
      <c r="B1191" s="6"/>
      <c r="C1191" s="5"/>
      <c r="D1191" s="5"/>
      <c r="E1191" s="9"/>
      <c r="F1191" s="5"/>
      <c r="G1191" s="5"/>
      <c r="H1191" s="10"/>
      <c r="I1191" s="6"/>
      <c r="J1191" s="6"/>
      <c r="K1191" s="6"/>
      <c r="L1191" s="6"/>
      <c r="M1191" s="6"/>
      <c r="N1191" s="6"/>
      <c r="O1191" s="6"/>
      <c r="P1191" s="10"/>
      <c r="Q1191" s="6"/>
      <c r="R1191" s="6"/>
    </row>
    <row r="1192">
      <c r="A1192" s="5"/>
      <c r="B1192" s="6"/>
      <c r="C1192" s="5"/>
      <c r="D1192" s="5"/>
      <c r="E1192" s="9"/>
      <c r="F1192" s="5"/>
      <c r="G1192" s="5"/>
      <c r="H1192" s="10"/>
      <c r="I1192" s="6"/>
      <c r="J1192" s="6"/>
      <c r="K1192" s="6"/>
      <c r="L1192" s="6"/>
      <c r="M1192" s="6"/>
      <c r="N1192" s="6"/>
      <c r="O1192" s="6"/>
      <c r="P1192" s="10"/>
      <c r="Q1192" s="6"/>
      <c r="R1192" s="6"/>
    </row>
    <row r="1193">
      <c r="A1193" s="5"/>
      <c r="B1193" s="6"/>
      <c r="C1193" s="5"/>
      <c r="D1193" s="5"/>
      <c r="E1193" s="9"/>
      <c r="F1193" s="5"/>
      <c r="G1193" s="5"/>
      <c r="H1193" s="10"/>
      <c r="I1193" s="6"/>
      <c r="J1193" s="6"/>
      <c r="K1193" s="6"/>
      <c r="L1193" s="6"/>
      <c r="M1193" s="6"/>
      <c r="N1193" s="6"/>
      <c r="O1193" s="6"/>
      <c r="P1193" s="10"/>
      <c r="Q1193" s="6"/>
      <c r="R1193" s="6"/>
    </row>
    <row r="1194">
      <c r="A1194" s="5"/>
      <c r="B1194" s="6"/>
      <c r="C1194" s="5"/>
      <c r="D1194" s="5"/>
      <c r="E1194" s="9"/>
      <c r="F1194" s="5"/>
      <c r="G1194" s="5"/>
      <c r="H1194" s="10"/>
      <c r="I1194" s="6"/>
      <c r="J1194" s="6"/>
      <c r="K1194" s="6"/>
      <c r="L1194" s="6"/>
      <c r="M1194" s="6"/>
      <c r="N1194" s="6"/>
      <c r="O1194" s="6"/>
      <c r="P1194" s="10"/>
      <c r="Q1194" s="6"/>
      <c r="R1194" s="6"/>
    </row>
    <row r="1195">
      <c r="A1195" s="5"/>
      <c r="B1195" s="6"/>
      <c r="C1195" s="5"/>
      <c r="D1195" s="5"/>
      <c r="E1195" s="9"/>
      <c r="F1195" s="5"/>
      <c r="G1195" s="5"/>
      <c r="H1195" s="10"/>
      <c r="I1195" s="6"/>
      <c r="J1195" s="6"/>
      <c r="K1195" s="6"/>
      <c r="L1195" s="6"/>
      <c r="M1195" s="6"/>
      <c r="N1195" s="6"/>
      <c r="O1195" s="6"/>
      <c r="P1195" s="10"/>
      <c r="Q1195" s="6"/>
      <c r="R1195" s="6"/>
    </row>
    <row r="1196">
      <c r="A1196" s="5"/>
      <c r="B1196" s="6"/>
      <c r="C1196" s="5"/>
      <c r="D1196" s="5"/>
      <c r="E1196" s="9"/>
      <c r="F1196" s="5"/>
      <c r="G1196" s="5"/>
      <c r="H1196" s="10"/>
      <c r="I1196" s="6"/>
      <c r="J1196" s="6"/>
      <c r="K1196" s="6"/>
      <c r="L1196" s="6"/>
      <c r="M1196" s="6"/>
      <c r="N1196" s="6"/>
      <c r="O1196" s="6"/>
      <c r="P1196" s="10"/>
      <c r="Q1196" s="6"/>
      <c r="R1196" s="6"/>
    </row>
    <row r="1197">
      <c r="A1197" s="5"/>
      <c r="B1197" s="6"/>
      <c r="C1197" s="5"/>
      <c r="D1197" s="5"/>
      <c r="E1197" s="9"/>
      <c r="F1197" s="5"/>
      <c r="G1197" s="5"/>
      <c r="H1197" s="10"/>
      <c r="I1197" s="6"/>
      <c r="J1197" s="6"/>
      <c r="K1197" s="6"/>
      <c r="L1197" s="6"/>
      <c r="M1197" s="6"/>
      <c r="N1197" s="6"/>
      <c r="O1197" s="6"/>
      <c r="P1197" s="10"/>
      <c r="Q1197" s="6"/>
      <c r="R1197" s="6"/>
    </row>
    <row r="1198">
      <c r="A1198" s="5"/>
      <c r="B1198" s="6"/>
      <c r="C1198" s="5"/>
      <c r="D1198" s="5"/>
      <c r="E1198" s="9"/>
      <c r="F1198" s="5"/>
      <c r="G1198" s="5"/>
      <c r="H1198" s="10"/>
      <c r="I1198" s="6"/>
      <c r="J1198" s="6"/>
      <c r="K1198" s="6"/>
      <c r="L1198" s="6"/>
      <c r="M1198" s="6"/>
      <c r="N1198" s="6"/>
      <c r="O1198" s="6"/>
      <c r="P1198" s="10"/>
      <c r="Q1198" s="6"/>
      <c r="R1198" s="6"/>
    </row>
    <row r="1199">
      <c r="A1199" s="5"/>
      <c r="B1199" s="6"/>
      <c r="C1199" s="5"/>
      <c r="D1199" s="5"/>
      <c r="E1199" s="9"/>
      <c r="F1199" s="5"/>
      <c r="G1199" s="5"/>
      <c r="H1199" s="10"/>
      <c r="I1199" s="6"/>
      <c r="J1199" s="6"/>
      <c r="K1199" s="6"/>
      <c r="L1199" s="6"/>
      <c r="M1199" s="6"/>
      <c r="N1199" s="6"/>
      <c r="O1199" s="6"/>
      <c r="P1199" s="10"/>
      <c r="Q1199" s="6"/>
      <c r="R1199" s="6"/>
    </row>
    <row r="1200">
      <c r="A1200" s="5"/>
      <c r="B1200" s="6"/>
      <c r="C1200" s="5"/>
      <c r="D1200" s="5"/>
      <c r="E1200" s="9"/>
      <c r="F1200" s="5"/>
      <c r="G1200" s="5"/>
      <c r="H1200" s="10"/>
      <c r="I1200" s="6"/>
      <c r="J1200" s="6"/>
      <c r="K1200" s="6"/>
      <c r="L1200" s="6"/>
      <c r="M1200" s="6"/>
      <c r="N1200" s="6"/>
      <c r="O1200" s="6"/>
      <c r="P1200" s="10"/>
      <c r="Q1200" s="6"/>
      <c r="R1200" s="6"/>
    </row>
    <row r="1201">
      <c r="A1201" s="5"/>
      <c r="B1201" s="6"/>
      <c r="C1201" s="5"/>
      <c r="D1201" s="5"/>
      <c r="E1201" s="9"/>
      <c r="F1201" s="5"/>
      <c r="G1201" s="5"/>
      <c r="H1201" s="10"/>
      <c r="I1201" s="6"/>
      <c r="J1201" s="6"/>
      <c r="K1201" s="6"/>
      <c r="L1201" s="6"/>
      <c r="M1201" s="6"/>
      <c r="N1201" s="6"/>
      <c r="O1201" s="6"/>
      <c r="P1201" s="10"/>
      <c r="Q1201" s="6"/>
      <c r="R1201" s="6"/>
    </row>
    <row r="1202">
      <c r="A1202" s="5"/>
      <c r="B1202" s="6"/>
      <c r="C1202" s="5"/>
      <c r="D1202" s="5"/>
      <c r="E1202" s="9"/>
      <c r="F1202" s="5"/>
      <c r="G1202" s="5"/>
      <c r="H1202" s="10"/>
      <c r="I1202" s="6"/>
      <c r="J1202" s="6"/>
      <c r="K1202" s="6"/>
      <c r="L1202" s="6"/>
      <c r="M1202" s="6"/>
      <c r="N1202" s="6"/>
      <c r="O1202" s="6"/>
      <c r="P1202" s="10"/>
      <c r="Q1202" s="6"/>
      <c r="R1202" s="6"/>
    </row>
    <row r="1203">
      <c r="A1203" s="5"/>
      <c r="B1203" s="6"/>
      <c r="C1203" s="5"/>
      <c r="D1203" s="5"/>
      <c r="E1203" s="9"/>
      <c r="F1203" s="5"/>
      <c r="G1203" s="5"/>
      <c r="H1203" s="10"/>
      <c r="I1203" s="6"/>
      <c r="J1203" s="6"/>
      <c r="K1203" s="6"/>
      <c r="L1203" s="6"/>
      <c r="M1203" s="6"/>
      <c r="N1203" s="6"/>
      <c r="O1203" s="6"/>
      <c r="P1203" s="10"/>
      <c r="Q1203" s="6"/>
      <c r="R1203" s="6"/>
    </row>
    <row r="1204">
      <c r="A1204" s="5"/>
      <c r="B1204" s="6"/>
      <c r="C1204" s="5"/>
      <c r="D1204" s="5"/>
      <c r="E1204" s="9"/>
      <c r="F1204" s="5"/>
      <c r="G1204" s="5"/>
      <c r="H1204" s="10"/>
      <c r="I1204" s="6"/>
      <c r="J1204" s="6"/>
      <c r="K1204" s="6"/>
      <c r="L1204" s="6"/>
      <c r="M1204" s="6"/>
      <c r="N1204" s="6"/>
      <c r="O1204" s="6"/>
      <c r="P1204" s="10"/>
      <c r="Q1204" s="6"/>
      <c r="R1204" s="6"/>
    </row>
    <row r="1205">
      <c r="A1205" s="5"/>
      <c r="B1205" s="6"/>
      <c r="C1205" s="5"/>
      <c r="D1205" s="5"/>
      <c r="E1205" s="9"/>
      <c r="F1205" s="5"/>
      <c r="G1205" s="5"/>
      <c r="H1205" s="10"/>
      <c r="I1205" s="6"/>
      <c r="J1205" s="6"/>
      <c r="K1205" s="6"/>
      <c r="L1205" s="6"/>
      <c r="M1205" s="6"/>
      <c r="N1205" s="6"/>
      <c r="O1205" s="6"/>
      <c r="P1205" s="10"/>
      <c r="Q1205" s="6"/>
      <c r="R1205" s="6"/>
    </row>
    <row r="1206">
      <c r="A1206" s="5"/>
      <c r="B1206" s="6"/>
      <c r="C1206" s="5"/>
      <c r="D1206" s="5"/>
      <c r="E1206" s="9"/>
      <c r="F1206" s="5"/>
      <c r="G1206" s="5"/>
      <c r="H1206" s="10"/>
      <c r="I1206" s="6"/>
      <c r="J1206" s="6"/>
      <c r="K1206" s="6"/>
      <c r="L1206" s="6"/>
      <c r="M1206" s="6"/>
      <c r="N1206" s="6"/>
      <c r="O1206" s="6"/>
      <c r="P1206" s="10"/>
      <c r="Q1206" s="6"/>
      <c r="R1206" s="6"/>
    </row>
    <row r="1207">
      <c r="A1207" s="5"/>
      <c r="B1207" s="6"/>
      <c r="C1207" s="5"/>
      <c r="D1207" s="5"/>
      <c r="E1207" s="9"/>
      <c r="F1207" s="5"/>
      <c r="G1207" s="5"/>
      <c r="H1207" s="10"/>
      <c r="I1207" s="6"/>
      <c r="J1207" s="6"/>
      <c r="K1207" s="6"/>
      <c r="L1207" s="6"/>
      <c r="M1207" s="6"/>
      <c r="N1207" s="6"/>
      <c r="O1207" s="6"/>
      <c r="P1207" s="10"/>
      <c r="Q1207" s="6"/>
      <c r="R1207" s="6"/>
    </row>
    <row r="1208">
      <c r="A1208" s="5"/>
      <c r="B1208" s="6"/>
      <c r="C1208" s="5"/>
      <c r="D1208" s="5"/>
      <c r="E1208" s="9"/>
      <c r="F1208" s="5"/>
      <c r="G1208" s="5"/>
      <c r="H1208" s="10"/>
      <c r="I1208" s="6"/>
      <c r="J1208" s="6"/>
      <c r="K1208" s="6"/>
      <c r="L1208" s="6"/>
      <c r="M1208" s="6"/>
      <c r="N1208" s="6"/>
      <c r="O1208" s="6"/>
      <c r="P1208" s="10"/>
      <c r="Q1208" s="6"/>
      <c r="R1208" s="6"/>
    </row>
    <row r="1209">
      <c r="A1209" s="5"/>
      <c r="B1209" s="6"/>
      <c r="C1209" s="5"/>
      <c r="D1209" s="5"/>
      <c r="E1209" s="9"/>
      <c r="F1209" s="5"/>
      <c r="G1209" s="5"/>
      <c r="H1209" s="10"/>
      <c r="I1209" s="6"/>
      <c r="J1209" s="6"/>
      <c r="K1209" s="6"/>
      <c r="L1209" s="6"/>
      <c r="M1209" s="6"/>
      <c r="N1209" s="6"/>
      <c r="O1209" s="6"/>
      <c r="P1209" s="10"/>
      <c r="Q1209" s="6"/>
      <c r="R1209" s="6"/>
    </row>
    <row r="1210">
      <c r="A1210" s="5"/>
      <c r="B1210" s="6"/>
      <c r="C1210" s="5"/>
      <c r="D1210" s="5"/>
      <c r="E1210" s="9"/>
      <c r="F1210" s="5"/>
      <c r="G1210" s="5"/>
      <c r="H1210" s="10"/>
      <c r="I1210" s="6"/>
      <c r="J1210" s="6"/>
      <c r="K1210" s="6"/>
      <c r="L1210" s="6"/>
      <c r="M1210" s="6"/>
      <c r="N1210" s="6"/>
      <c r="O1210" s="6"/>
      <c r="P1210" s="10"/>
      <c r="Q1210" s="6"/>
      <c r="R1210" s="6"/>
    </row>
    <row r="1211">
      <c r="A1211" s="5"/>
      <c r="B1211" s="6"/>
      <c r="C1211" s="5"/>
      <c r="D1211" s="5"/>
      <c r="E1211" s="9"/>
      <c r="F1211" s="5"/>
      <c r="G1211" s="5"/>
      <c r="H1211" s="10"/>
      <c r="I1211" s="6"/>
      <c r="J1211" s="6"/>
      <c r="K1211" s="6"/>
      <c r="L1211" s="6"/>
      <c r="M1211" s="6"/>
      <c r="N1211" s="6"/>
      <c r="O1211" s="6"/>
      <c r="P1211" s="10"/>
      <c r="Q1211" s="6"/>
      <c r="R1211" s="6"/>
    </row>
    <row r="1212">
      <c r="A1212" s="5"/>
      <c r="B1212" s="6"/>
      <c r="C1212" s="5"/>
      <c r="D1212" s="5"/>
      <c r="E1212" s="9"/>
      <c r="F1212" s="5"/>
      <c r="G1212" s="5"/>
      <c r="H1212" s="10"/>
      <c r="I1212" s="6"/>
      <c r="J1212" s="6"/>
      <c r="K1212" s="6"/>
      <c r="L1212" s="6"/>
      <c r="M1212" s="6"/>
      <c r="N1212" s="6"/>
      <c r="O1212" s="6"/>
      <c r="P1212" s="10"/>
      <c r="Q1212" s="6"/>
      <c r="R1212" s="6"/>
    </row>
    <row r="1213">
      <c r="A1213" s="5"/>
      <c r="B1213" s="6"/>
      <c r="C1213" s="5"/>
      <c r="D1213" s="5"/>
      <c r="E1213" s="9"/>
      <c r="F1213" s="5"/>
      <c r="G1213" s="5"/>
      <c r="H1213" s="10"/>
      <c r="I1213" s="6"/>
      <c r="J1213" s="6"/>
      <c r="K1213" s="6"/>
      <c r="L1213" s="6"/>
      <c r="M1213" s="6"/>
      <c r="N1213" s="6"/>
      <c r="O1213" s="6"/>
      <c r="P1213" s="10"/>
      <c r="Q1213" s="6"/>
      <c r="R1213" s="6"/>
    </row>
    <row r="1214">
      <c r="A1214" s="5"/>
      <c r="B1214" s="6"/>
      <c r="C1214" s="5"/>
      <c r="D1214" s="5"/>
      <c r="E1214" s="9"/>
      <c r="F1214" s="5"/>
      <c r="G1214" s="5"/>
      <c r="H1214" s="10"/>
      <c r="I1214" s="6"/>
      <c r="J1214" s="6"/>
      <c r="K1214" s="6"/>
      <c r="L1214" s="6"/>
      <c r="M1214" s="6"/>
      <c r="N1214" s="6"/>
      <c r="O1214" s="6"/>
      <c r="P1214" s="10"/>
      <c r="Q1214" s="6"/>
      <c r="R1214" s="6"/>
    </row>
    <row r="1215">
      <c r="A1215" s="5"/>
      <c r="B1215" s="6"/>
      <c r="C1215" s="5"/>
      <c r="D1215" s="5"/>
      <c r="E1215" s="9"/>
      <c r="F1215" s="5"/>
      <c r="G1215" s="5"/>
      <c r="H1215" s="10"/>
      <c r="I1215" s="6"/>
      <c r="J1215" s="6"/>
      <c r="K1215" s="6"/>
      <c r="L1215" s="6"/>
      <c r="M1215" s="6"/>
      <c r="N1215" s="6"/>
      <c r="O1215" s="6"/>
      <c r="P1215" s="10"/>
      <c r="Q1215" s="6"/>
      <c r="R1215" s="6"/>
    </row>
    <row r="1216">
      <c r="A1216" s="5"/>
      <c r="B1216" s="6"/>
      <c r="C1216" s="5"/>
      <c r="D1216" s="5"/>
      <c r="E1216" s="9"/>
      <c r="F1216" s="5"/>
      <c r="G1216" s="5"/>
      <c r="H1216" s="10"/>
      <c r="I1216" s="6"/>
      <c r="J1216" s="6"/>
      <c r="K1216" s="6"/>
      <c r="L1216" s="6"/>
      <c r="M1216" s="6"/>
      <c r="N1216" s="6"/>
      <c r="O1216" s="6"/>
      <c r="P1216" s="10"/>
      <c r="Q1216" s="6"/>
      <c r="R1216" s="6"/>
    </row>
    <row r="1217">
      <c r="A1217" s="5"/>
      <c r="B1217" s="6"/>
      <c r="C1217" s="5"/>
      <c r="D1217" s="5"/>
      <c r="E1217" s="9"/>
      <c r="F1217" s="5"/>
      <c r="G1217" s="5"/>
      <c r="H1217" s="10"/>
      <c r="I1217" s="6"/>
      <c r="J1217" s="6"/>
      <c r="K1217" s="6"/>
      <c r="L1217" s="6"/>
      <c r="M1217" s="6"/>
      <c r="N1217" s="6"/>
      <c r="O1217" s="6"/>
      <c r="P1217" s="10"/>
      <c r="Q1217" s="6"/>
      <c r="R1217" s="6"/>
    </row>
    <row r="1218">
      <c r="A1218" s="5"/>
      <c r="B1218" s="6"/>
      <c r="C1218" s="5"/>
      <c r="D1218" s="5"/>
      <c r="E1218" s="9"/>
      <c r="F1218" s="5"/>
      <c r="G1218" s="5"/>
      <c r="H1218" s="10"/>
      <c r="I1218" s="6"/>
      <c r="J1218" s="6"/>
      <c r="K1218" s="6"/>
      <c r="L1218" s="6"/>
      <c r="M1218" s="6"/>
      <c r="N1218" s="6"/>
      <c r="O1218" s="6"/>
      <c r="P1218" s="10"/>
      <c r="Q1218" s="6"/>
      <c r="R1218" s="6"/>
    </row>
    <row r="1219">
      <c r="A1219" s="5"/>
      <c r="B1219" s="6"/>
      <c r="C1219" s="5"/>
      <c r="D1219" s="5"/>
      <c r="E1219" s="9"/>
      <c r="F1219" s="5"/>
      <c r="G1219" s="5"/>
      <c r="H1219" s="10"/>
      <c r="I1219" s="6"/>
      <c r="J1219" s="6"/>
      <c r="K1219" s="6"/>
      <c r="L1219" s="6"/>
      <c r="M1219" s="6"/>
      <c r="N1219" s="6"/>
      <c r="O1219" s="6"/>
      <c r="P1219" s="10"/>
      <c r="Q1219" s="6"/>
      <c r="R1219" s="6"/>
    </row>
    <row r="1220">
      <c r="A1220" s="5"/>
      <c r="B1220" s="6"/>
      <c r="C1220" s="5"/>
      <c r="D1220" s="5"/>
      <c r="E1220" s="9"/>
      <c r="F1220" s="5"/>
      <c r="G1220" s="5"/>
      <c r="H1220" s="10"/>
      <c r="I1220" s="6"/>
      <c r="J1220" s="6"/>
      <c r="K1220" s="6"/>
      <c r="L1220" s="6"/>
      <c r="M1220" s="6"/>
      <c r="N1220" s="6"/>
      <c r="O1220" s="6"/>
      <c r="P1220" s="10"/>
      <c r="Q1220" s="6"/>
      <c r="R1220" s="6"/>
    </row>
    <row r="1221">
      <c r="A1221" s="5"/>
      <c r="B1221" s="6"/>
      <c r="C1221" s="5"/>
      <c r="D1221" s="5"/>
      <c r="E1221" s="9"/>
      <c r="F1221" s="5"/>
      <c r="G1221" s="5"/>
      <c r="H1221" s="10"/>
      <c r="I1221" s="6"/>
      <c r="J1221" s="6"/>
      <c r="K1221" s="6"/>
      <c r="L1221" s="6"/>
      <c r="M1221" s="6"/>
      <c r="N1221" s="6"/>
      <c r="O1221" s="6"/>
      <c r="P1221" s="10"/>
      <c r="Q1221" s="6"/>
      <c r="R1221" s="6"/>
    </row>
    <row r="1222">
      <c r="A1222" s="5"/>
      <c r="B1222" s="6"/>
      <c r="C1222" s="5"/>
      <c r="D1222" s="5"/>
      <c r="E1222" s="9"/>
      <c r="F1222" s="5"/>
      <c r="G1222" s="5"/>
      <c r="H1222" s="10"/>
      <c r="I1222" s="6"/>
      <c r="J1222" s="6"/>
      <c r="K1222" s="6"/>
      <c r="L1222" s="6"/>
      <c r="M1222" s="6"/>
      <c r="N1222" s="6"/>
      <c r="O1222" s="6"/>
      <c r="P1222" s="10"/>
      <c r="Q1222" s="6"/>
      <c r="R1222" s="6"/>
    </row>
    <row r="1223">
      <c r="A1223" s="5"/>
      <c r="B1223" s="6"/>
      <c r="C1223" s="5"/>
      <c r="D1223" s="5"/>
      <c r="E1223" s="9"/>
      <c r="F1223" s="5"/>
      <c r="G1223" s="5"/>
      <c r="H1223" s="10"/>
      <c r="I1223" s="6"/>
      <c r="J1223" s="6"/>
      <c r="K1223" s="6"/>
      <c r="L1223" s="6"/>
      <c r="M1223" s="6"/>
      <c r="N1223" s="6"/>
      <c r="O1223" s="6"/>
      <c r="P1223" s="10"/>
      <c r="Q1223" s="6"/>
      <c r="R1223" s="6"/>
    </row>
    <row r="1224">
      <c r="A1224" s="5"/>
      <c r="B1224" s="6"/>
      <c r="C1224" s="5"/>
      <c r="D1224" s="5"/>
      <c r="E1224" s="9"/>
      <c r="F1224" s="5"/>
      <c r="G1224" s="5"/>
      <c r="H1224" s="10"/>
      <c r="I1224" s="6"/>
      <c r="J1224" s="6"/>
      <c r="K1224" s="6"/>
      <c r="L1224" s="6"/>
      <c r="M1224" s="6"/>
      <c r="N1224" s="6"/>
      <c r="O1224" s="6"/>
      <c r="P1224" s="10"/>
      <c r="Q1224" s="6"/>
      <c r="R1224" s="6"/>
    </row>
    <row r="1225">
      <c r="A1225" s="5"/>
      <c r="B1225" s="6"/>
      <c r="C1225" s="5"/>
      <c r="D1225" s="5"/>
      <c r="E1225" s="9"/>
      <c r="F1225" s="5"/>
      <c r="G1225" s="5"/>
      <c r="H1225" s="10"/>
      <c r="I1225" s="6"/>
      <c r="J1225" s="6"/>
      <c r="K1225" s="6"/>
      <c r="L1225" s="6"/>
      <c r="M1225" s="6"/>
      <c r="N1225" s="6"/>
      <c r="O1225" s="6"/>
      <c r="P1225" s="10"/>
      <c r="Q1225" s="6"/>
      <c r="R1225" s="6"/>
    </row>
    <row r="1226">
      <c r="A1226" s="5"/>
      <c r="B1226" s="6"/>
      <c r="C1226" s="5"/>
      <c r="D1226" s="5"/>
      <c r="E1226" s="9"/>
      <c r="F1226" s="5"/>
      <c r="G1226" s="5"/>
      <c r="H1226" s="10"/>
      <c r="I1226" s="6"/>
      <c r="J1226" s="6"/>
      <c r="K1226" s="6"/>
      <c r="L1226" s="6"/>
      <c r="M1226" s="6"/>
      <c r="N1226" s="6"/>
      <c r="O1226" s="6"/>
      <c r="P1226" s="10"/>
      <c r="Q1226" s="6"/>
      <c r="R1226" s="6"/>
    </row>
    <row r="1227">
      <c r="A1227" s="5"/>
      <c r="B1227" s="6"/>
      <c r="C1227" s="5"/>
      <c r="D1227" s="5"/>
      <c r="E1227" s="9"/>
      <c r="F1227" s="5"/>
      <c r="G1227" s="5"/>
      <c r="H1227" s="10"/>
      <c r="I1227" s="6"/>
      <c r="J1227" s="6"/>
      <c r="K1227" s="6"/>
      <c r="L1227" s="6"/>
      <c r="M1227" s="6"/>
      <c r="N1227" s="6"/>
      <c r="O1227" s="6"/>
      <c r="P1227" s="10"/>
      <c r="Q1227" s="6"/>
      <c r="R1227" s="6"/>
    </row>
    <row r="1228">
      <c r="A1228" s="5"/>
      <c r="B1228" s="6"/>
      <c r="C1228" s="5"/>
      <c r="D1228" s="5"/>
      <c r="E1228" s="9"/>
      <c r="F1228" s="5"/>
      <c r="G1228" s="5"/>
      <c r="H1228" s="10"/>
      <c r="I1228" s="6"/>
      <c r="J1228" s="6"/>
      <c r="K1228" s="6"/>
      <c r="L1228" s="6"/>
      <c r="M1228" s="6"/>
      <c r="N1228" s="6"/>
      <c r="O1228" s="6"/>
      <c r="P1228" s="10"/>
      <c r="Q1228" s="6"/>
      <c r="R1228" s="6"/>
    </row>
    <row r="1229">
      <c r="A1229" s="5"/>
      <c r="B1229" s="6"/>
      <c r="C1229" s="5"/>
      <c r="D1229" s="5"/>
      <c r="E1229" s="9"/>
      <c r="F1229" s="5"/>
      <c r="G1229" s="5"/>
      <c r="H1229" s="10"/>
      <c r="I1229" s="6"/>
      <c r="J1229" s="6"/>
      <c r="K1229" s="6"/>
      <c r="L1229" s="6"/>
      <c r="M1229" s="6"/>
      <c r="N1229" s="6"/>
      <c r="O1229" s="6"/>
      <c r="P1229" s="10"/>
      <c r="Q1229" s="6"/>
      <c r="R1229" s="6"/>
    </row>
    <row r="1230">
      <c r="A1230" s="5"/>
      <c r="B1230" s="6"/>
      <c r="C1230" s="5"/>
      <c r="D1230" s="5"/>
      <c r="E1230" s="9"/>
      <c r="F1230" s="5"/>
      <c r="G1230" s="5"/>
      <c r="H1230" s="10"/>
      <c r="I1230" s="6"/>
      <c r="J1230" s="6"/>
      <c r="K1230" s="6"/>
      <c r="L1230" s="6"/>
      <c r="M1230" s="6"/>
      <c r="N1230" s="6"/>
      <c r="O1230" s="6"/>
      <c r="P1230" s="10"/>
      <c r="Q1230" s="6"/>
      <c r="R1230" s="6"/>
    </row>
    <row r="1231">
      <c r="A1231" s="5"/>
      <c r="B1231" s="6"/>
      <c r="C1231" s="5"/>
      <c r="D1231" s="5"/>
      <c r="E1231" s="9"/>
      <c r="F1231" s="5"/>
      <c r="G1231" s="5"/>
      <c r="H1231" s="10"/>
      <c r="I1231" s="6"/>
      <c r="J1231" s="6"/>
      <c r="K1231" s="6"/>
      <c r="L1231" s="6"/>
      <c r="M1231" s="6"/>
      <c r="N1231" s="6"/>
      <c r="O1231" s="6"/>
      <c r="P1231" s="10"/>
      <c r="Q1231" s="6"/>
      <c r="R1231" s="6"/>
    </row>
    <row r="1232">
      <c r="A1232" s="5"/>
      <c r="B1232" s="6"/>
      <c r="C1232" s="5"/>
      <c r="D1232" s="5"/>
      <c r="E1232" s="9"/>
      <c r="F1232" s="5"/>
      <c r="G1232" s="5"/>
      <c r="H1232" s="10"/>
      <c r="I1232" s="6"/>
      <c r="J1232" s="6"/>
      <c r="K1232" s="6"/>
      <c r="L1232" s="6"/>
      <c r="M1232" s="6"/>
      <c r="N1232" s="6"/>
      <c r="O1232" s="6"/>
      <c r="P1232" s="10"/>
      <c r="Q1232" s="6"/>
      <c r="R1232" s="6"/>
    </row>
    <row r="1233">
      <c r="A1233" s="5"/>
      <c r="B1233" s="6"/>
      <c r="C1233" s="5"/>
      <c r="D1233" s="5"/>
      <c r="E1233" s="9"/>
      <c r="F1233" s="5"/>
      <c r="G1233" s="5"/>
      <c r="H1233" s="10"/>
      <c r="I1233" s="6"/>
      <c r="J1233" s="6"/>
      <c r="K1233" s="6"/>
      <c r="L1233" s="6"/>
      <c r="M1233" s="6"/>
      <c r="N1233" s="6"/>
      <c r="O1233" s="6"/>
      <c r="P1233" s="10"/>
      <c r="Q1233" s="6"/>
      <c r="R1233" s="6"/>
    </row>
    <row r="1234">
      <c r="A1234" s="5"/>
      <c r="B1234" s="6"/>
      <c r="C1234" s="5"/>
      <c r="D1234" s="5"/>
      <c r="E1234" s="9"/>
      <c r="F1234" s="5"/>
      <c r="G1234" s="5"/>
      <c r="H1234" s="10"/>
      <c r="I1234" s="6"/>
      <c r="J1234" s="6"/>
      <c r="K1234" s="6"/>
      <c r="L1234" s="6"/>
      <c r="M1234" s="6"/>
      <c r="N1234" s="6"/>
      <c r="O1234" s="6"/>
      <c r="P1234" s="10"/>
      <c r="Q1234" s="6"/>
      <c r="R1234" s="6"/>
    </row>
    <row r="1235">
      <c r="A1235" s="5"/>
      <c r="B1235" s="6"/>
      <c r="C1235" s="5"/>
      <c r="D1235" s="5"/>
      <c r="E1235" s="9"/>
      <c r="F1235" s="5"/>
      <c r="G1235" s="5"/>
      <c r="H1235" s="10"/>
      <c r="I1235" s="6"/>
      <c r="J1235" s="6"/>
      <c r="K1235" s="6"/>
      <c r="L1235" s="6"/>
      <c r="M1235" s="6"/>
      <c r="N1235" s="6"/>
      <c r="O1235" s="6"/>
      <c r="P1235" s="10"/>
      <c r="Q1235" s="6"/>
      <c r="R1235" s="6"/>
    </row>
    <row r="1236">
      <c r="A1236" s="5"/>
      <c r="B1236" s="6"/>
      <c r="C1236" s="5"/>
      <c r="D1236" s="5"/>
      <c r="E1236" s="9"/>
      <c r="F1236" s="5"/>
      <c r="G1236" s="5"/>
      <c r="H1236" s="10"/>
      <c r="I1236" s="6"/>
      <c r="J1236" s="6"/>
      <c r="K1236" s="6"/>
      <c r="L1236" s="6"/>
      <c r="M1236" s="6"/>
      <c r="N1236" s="6"/>
      <c r="O1236" s="6"/>
      <c r="P1236" s="10"/>
      <c r="Q1236" s="6"/>
      <c r="R1236" s="6"/>
    </row>
    <row r="1237">
      <c r="A1237" s="5"/>
      <c r="B1237" s="6"/>
      <c r="C1237" s="5"/>
      <c r="D1237" s="5"/>
      <c r="E1237" s="9"/>
      <c r="F1237" s="5"/>
      <c r="G1237" s="5"/>
      <c r="H1237" s="10"/>
      <c r="I1237" s="6"/>
      <c r="J1237" s="6"/>
      <c r="K1237" s="6"/>
      <c r="L1237" s="6"/>
      <c r="M1237" s="6"/>
      <c r="N1237" s="6"/>
      <c r="O1237" s="6"/>
      <c r="P1237" s="10"/>
      <c r="Q1237" s="6"/>
      <c r="R1237" s="6"/>
    </row>
    <row r="1238">
      <c r="A1238" s="5"/>
      <c r="B1238" s="6"/>
      <c r="C1238" s="5"/>
      <c r="D1238" s="5"/>
      <c r="E1238" s="9"/>
      <c r="F1238" s="5"/>
      <c r="G1238" s="5"/>
      <c r="H1238" s="10"/>
      <c r="I1238" s="6"/>
      <c r="J1238" s="6"/>
      <c r="K1238" s="6"/>
      <c r="L1238" s="6"/>
      <c r="M1238" s="6"/>
      <c r="N1238" s="6"/>
      <c r="O1238" s="6"/>
      <c r="P1238" s="10"/>
      <c r="Q1238" s="6"/>
      <c r="R1238" s="6"/>
    </row>
    <row r="1239">
      <c r="A1239" s="5"/>
      <c r="B1239" s="6"/>
      <c r="C1239" s="5"/>
      <c r="D1239" s="5"/>
      <c r="E1239" s="9"/>
      <c r="F1239" s="5"/>
      <c r="G1239" s="5"/>
      <c r="H1239" s="10"/>
      <c r="I1239" s="6"/>
      <c r="J1239" s="6"/>
      <c r="K1239" s="6"/>
      <c r="L1239" s="6"/>
      <c r="M1239" s="6"/>
      <c r="N1239" s="6"/>
      <c r="O1239" s="6"/>
      <c r="P1239" s="10"/>
      <c r="Q1239" s="6"/>
      <c r="R1239" s="6"/>
    </row>
    <row r="1240">
      <c r="A1240" s="5"/>
      <c r="B1240" s="6"/>
      <c r="C1240" s="5"/>
      <c r="D1240" s="5"/>
      <c r="E1240" s="9"/>
      <c r="F1240" s="5"/>
      <c r="G1240" s="5"/>
      <c r="H1240" s="10"/>
      <c r="I1240" s="6"/>
      <c r="J1240" s="6"/>
      <c r="K1240" s="6"/>
      <c r="L1240" s="6"/>
      <c r="M1240" s="6"/>
      <c r="N1240" s="6"/>
      <c r="O1240" s="6"/>
      <c r="P1240" s="10"/>
      <c r="Q1240" s="6"/>
      <c r="R1240" s="6"/>
    </row>
    <row r="1241">
      <c r="A1241" s="5"/>
      <c r="B1241" s="6"/>
      <c r="C1241" s="5"/>
      <c r="D1241" s="5"/>
      <c r="E1241" s="9"/>
      <c r="F1241" s="5"/>
      <c r="G1241" s="5"/>
      <c r="H1241" s="10"/>
      <c r="I1241" s="6"/>
      <c r="J1241" s="6"/>
      <c r="K1241" s="6"/>
      <c r="L1241" s="6"/>
      <c r="M1241" s="6"/>
      <c r="N1241" s="6"/>
      <c r="O1241" s="6"/>
      <c r="P1241" s="10"/>
      <c r="Q1241" s="6"/>
      <c r="R1241" s="6"/>
    </row>
    <row r="1242">
      <c r="A1242" s="5"/>
      <c r="B1242" s="6"/>
      <c r="C1242" s="5"/>
      <c r="D1242" s="5"/>
      <c r="E1242" s="9"/>
      <c r="F1242" s="5"/>
      <c r="G1242" s="5"/>
      <c r="H1242" s="10"/>
      <c r="I1242" s="6"/>
      <c r="J1242" s="6"/>
      <c r="K1242" s="6"/>
      <c r="L1242" s="6"/>
      <c r="M1242" s="6"/>
      <c r="N1242" s="6"/>
      <c r="O1242" s="6"/>
      <c r="P1242" s="10"/>
      <c r="Q1242" s="6"/>
      <c r="R1242" s="6"/>
    </row>
    <row r="1243">
      <c r="A1243" s="5"/>
      <c r="B1243" s="6"/>
      <c r="C1243" s="5"/>
      <c r="D1243" s="5"/>
      <c r="E1243" s="9"/>
      <c r="F1243" s="5"/>
      <c r="G1243" s="5"/>
      <c r="H1243" s="10"/>
      <c r="I1243" s="6"/>
      <c r="J1243" s="6"/>
      <c r="K1243" s="6"/>
      <c r="L1243" s="6"/>
      <c r="M1243" s="6"/>
      <c r="N1243" s="6"/>
      <c r="O1243" s="6"/>
      <c r="P1243" s="10"/>
      <c r="Q1243" s="6"/>
      <c r="R1243" s="6"/>
    </row>
    <row r="1244">
      <c r="A1244" s="5"/>
      <c r="B1244" s="6"/>
      <c r="C1244" s="5"/>
      <c r="D1244" s="5"/>
      <c r="E1244" s="9"/>
      <c r="F1244" s="5"/>
      <c r="G1244" s="5"/>
      <c r="H1244" s="10"/>
      <c r="I1244" s="6"/>
      <c r="J1244" s="6"/>
      <c r="K1244" s="6"/>
      <c r="L1244" s="6"/>
      <c r="M1244" s="6"/>
      <c r="N1244" s="6"/>
      <c r="O1244" s="6"/>
      <c r="P1244" s="10"/>
      <c r="Q1244" s="6"/>
      <c r="R1244" s="6"/>
    </row>
    <row r="1245">
      <c r="A1245" s="5"/>
      <c r="B1245" s="6"/>
      <c r="C1245" s="5"/>
      <c r="D1245" s="5"/>
      <c r="E1245" s="9"/>
      <c r="F1245" s="5"/>
      <c r="G1245" s="5"/>
      <c r="H1245" s="10"/>
      <c r="I1245" s="6"/>
      <c r="J1245" s="6"/>
      <c r="K1245" s="6"/>
      <c r="L1245" s="6"/>
      <c r="M1245" s="6"/>
      <c r="N1245" s="6"/>
      <c r="O1245" s="6"/>
      <c r="P1245" s="10"/>
      <c r="Q1245" s="6"/>
      <c r="R1245" s="6"/>
    </row>
    <row r="1246">
      <c r="A1246" s="5"/>
      <c r="B1246" s="6"/>
      <c r="C1246" s="5"/>
      <c r="D1246" s="5"/>
      <c r="E1246" s="9"/>
      <c r="F1246" s="5"/>
      <c r="G1246" s="5"/>
      <c r="H1246" s="10"/>
      <c r="I1246" s="6"/>
      <c r="J1246" s="6"/>
      <c r="K1246" s="6"/>
      <c r="L1246" s="6"/>
      <c r="M1246" s="6"/>
      <c r="N1246" s="6"/>
      <c r="O1246" s="6"/>
      <c r="P1246" s="10"/>
      <c r="Q1246" s="6"/>
      <c r="R1246" s="6"/>
    </row>
    <row r="1247">
      <c r="A1247" s="5"/>
      <c r="B1247" s="6"/>
      <c r="C1247" s="5"/>
      <c r="D1247" s="5"/>
      <c r="E1247" s="9"/>
      <c r="F1247" s="5"/>
      <c r="G1247" s="5"/>
      <c r="H1247" s="10"/>
      <c r="I1247" s="6"/>
      <c r="J1247" s="6"/>
      <c r="K1247" s="6"/>
      <c r="L1247" s="6"/>
      <c r="M1247" s="6"/>
      <c r="N1247" s="6"/>
      <c r="O1247" s="6"/>
      <c r="P1247" s="10"/>
      <c r="Q1247" s="6"/>
      <c r="R1247" s="6"/>
    </row>
    <row r="1248">
      <c r="A1248" s="5"/>
      <c r="B1248" s="6"/>
      <c r="C1248" s="5"/>
      <c r="D1248" s="5"/>
      <c r="E1248" s="9"/>
      <c r="F1248" s="5"/>
      <c r="G1248" s="5"/>
      <c r="H1248" s="10"/>
      <c r="I1248" s="6"/>
      <c r="J1248" s="6"/>
      <c r="K1248" s="6"/>
      <c r="L1248" s="6"/>
      <c r="M1248" s="6"/>
      <c r="N1248" s="6"/>
      <c r="O1248" s="6"/>
      <c r="P1248" s="10"/>
      <c r="Q1248" s="6"/>
      <c r="R1248" s="6"/>
    </row>
    <row r="1249">
      <c r="A1249" s="5"/>
      <c r="B1249" s="6"/>
      <c r="C1249" s="5"/>
      <c r="D1249" s="5"/>
      <c r="E1249" s="9"/>
      <c r="F1249" s="5"/>
      <c r="G1249" s="5"/>
      <c r="H1249" s="10"/>
      <c r="I1249" s="6"/>
      <c r="J1249" s="6"/>
      <c r="K1249" s="6"/>
      <c r="L1249" s="6"/>
      <c r="M1249" s="6"/>
      <c r="N1249" s="6"/>
      <c r="O1249" s="6"/>
      <c r="P1249" s="10"/>
      <c r="Q1249" s="6"/>
      <c r="R1249" s="6"/>
    </row>
    <row r="1250">
      <c r="A1250" s="5"/>
      <c r="B1250" s="6"/>
      <c r="C1250" s="5"/>
      <c r="D1250" s="5"/>
      <c r="E1250" s="9"/>
      <c r="F1250" s="5"/>
      <c r="G1250" s="5"/>
      <c r="H1250" s="10"/>
      <c r="I1250" s="6"/>
      <c r="J1250" s="6"/>
      <c r="K1250" s="6"/>
      <c r="L1250" s="6"/>
      <c r="M1250" s="6"/>
      <c r="N1250" s="6"/>
      <c r="O1250" s="6"/>
      <c r="P1250" s="10"/>
      <c r="Q1250" s="6"/>
      <c r="R1250" s="6"/>
    </row>
    <row r="1251">
      <c r="A1251" s="5"/>
      <c r="B1251" s="6"/>
      <c r="C1251" s="5"/>
      <c r="D1251" s="5"/>
      <c r="E1251" s="9"/>
      <c r="F1251" s="5"/>
      <c r="G1251" s="5"/>
      <c r="H1251" s="10"/>
      <c r="I1251" s="6"/>
      <c r="J1251" s="6"/>
      <c r="K1251" s="6"/>
      <c r="L1251" s="6"/>
      <c r="M1251" s="6"/>
      <c r="N1251" s="6"/>
      <c r="O1251" s="6"/>
      <c r="P1251" s="10"/>
      <c r="Q1251" s="6"/>
      <c r="R1251" s="6"/>
    </row>
    <row r="1252">
      <c r="A1252" s="5"/>
      <c r="B1252" s="6"/>
      <c r="C1252" s="5"/>
      <c r="D1252" s="5"/>
      <c r="E1252" s="9"/>
      <c r="F1252" s="5"/>
      <c r="G1252" s="5"/>
      <c r="H1252" s="10"/>
      <c r="I1252" s="6"/>
      <c r="J1252" s="6"/>
      <c r="K1252" s="6"/>
      <c r="L1252" s="6"/>
      <c r="M1252" s="6"/>
      <c r="N1252" s="6"/>
      <c r="O1252" s="6"/>
      <c r="P1252" s="10"/>
      <c r="Q1252" s="6"/>
      <c r="R1252" s="6"/>
    </row>
    <row r="1253">
      <c r="A1253" s="5"/>
      <c r="B1253" s="6"/>
      <c r="C1253" s="5"/>
      <c r="D1253" s="5"/>
      <c r="E1253" s="9"/>
      <c r="F1253" s="5"/>
      <c r="G1253" s="5"/>
      <c r="H1253" s="10"/>
      <c r="I1253" s="6"/>
      <c r="J1253" s="6"/>
      <c r="K1253" s="6"/>
      <c r="L1253" s="6"/>
      <c r="M1253" s="6"/>
      <c r="N1253" s="6"/>
      <c r="O1253" s="6"/>
      <c r="P1253" s="10"/>
      <c r="Q1253" s="6"/>
      <c r="R1253" s="6"/>
    </row>
    <row r="1254">
      <c r="A1254" s="5"/>
      <c r="B1254" s="6"/>
      <c r="C1254" s="5"/>
      <c r="D1254" s="5"/>
      <c r="E1254" s="9"/>
      <c r="F1254" s="5"/>
      <c r="G1254" s="5"/>
      <c r="H1254" s="10"/>
      <c r="I1254" s="6"/>
      <c r="J1254" s="6"/>
      <c r="K1254" s="6"/>
      <c r="L1254" s="6"/>
      <c r="M1254" s="6"/>
      <c r="N1254" s="6"/>
      <c r="O1254" s="6"/>
      <c r="P1254" s="10"/>
      <c r="Q1254" s="6"/>
      <c r="R1254" s="6"/>
    </row>
    <row r="1255">
      <c r="A1255" s="5"/>
      <c r="B1255" s="6"/>
      <c r="C1255" s="5"/>
      <c r="D1255" s="5"/>
      <c r="E1255" s="9"/>
      <c r="F1255" s="5"/>
      <c r="G1255" s="5"/>
      <c r="H1255" s="10"/>
      <c r="I1255" s="6"/>
      <c r="J1255" s="6"/>
      <c r="K1255" s="6"/>
      <c r="L1255" s="6"/>
      <c r="M1255" s="6"/>
      <c r="N1255" s="6"/>
      <c r="O1255" s="6"/>
      <c r="P1255" s="10"/>
      <c r="Q1255" s="6"/>
      <c r="R1255" s="6"/>
    </row>
    <row r="1256">
      <c r="A1256" s="5"/>
      <c r="B1256" s="6"/>
      <c r="C1256" s="5"/>
      <c r="D1256" s="5"/>
      <c r="E1256" s="9"/>
      <c r="F1256" s="5"/>
      <c r="G1256" s="5"/>
      <c r="H1256" s="10"/>
      <c r="I1256" s="6"/>
      <c r="J1256" s="6"/>
      <c r="K1256" s="6"/>
      <c r="L1256" s="6"/>
      <c r="M1256" s="6"/>
      <c r="N1256" s="6"/>
      <c r="O1256" s="6"/>
      <c r="P1256" s="10"/>
      <c r="Q1256" s="6"/>
      <c r="R1256" s="6"/>
    </row>
    <row r="1257">
      <c r="A1257" s="5"/>
      <c r="B1257" s="6"/>
      <c r="C1257" s="5"/>
      <c r="D1257" s="5"/>
      <c r="E1257" s="9"/>
      <c r="F1257" s="5"/>
      <c r="G1257" s="5"/>
      <c r="H1257" s="10"/>
      <c r="I1257" s="6"/>
      <c r="J1257" s="6"/>
      <c r="K1257" s="6"/>
      <c r="L1257" s="6"/>
      <c r="M1257" s="6"/>
      <c r="N1257" s="6"/>
      <c r="O1257" s="6"/>
      <c r="P1257" s="10"/>
      <c r="Q1257" s="6"/>
      <c r="R1257" s="6"/>
    </row>
    <row r="1258">
      <c r="A1258" s="5"/>
      <c r="B1258" s="6"/>
      <c r="C1258" s="5"/>
      <c r="D1258" s="5"/>
      <c r="E1258" s="9"/>
      <c r="F1258" s="5"/>
      <c r="G1258" s="5"/>
      <c r="H1258" s="10"/>
      <c r="I1258" s="6"/>
      <c r="J1258" s="6"/>
      <c r="K1258" s="6"/>
      <c r="L1258" s="6"/>
      <c r="M1258" s="6"/>
      <c r="N1258" s="6"/>
      <c r="O1258" s="6"/>
      <c r="P1258" s="10"/>
      <c r="Q1258" s="6"/>
      <c r="R1258" s="6"/>
    </row>
    <row r="1259">
      <c r="A1259" s="5"/>
      <c r="B1259" s="6"/>
      <c r="C1259" s="5"/>
      <c r="D1259" s="5"/>
      <c r="E1259" s="9"/>
      <c r="F1259" s="5"/>
      <c r="G1259" s="5"/>
      <c r="H1259" s="10"/>
      <c r="I1259" s="6"/>
      <c r="J1259" s="6"/>
      <c r="K1259" s="6"/>
      <c r="L1259" s="6"/>
      <c r="M1259" s="6"/>
      <c r="N1259" s="6"/>
      <c r="O1259" s="6"/>
      <c r="P1259" s="10"/>
      <c r="Q1259" s="6"/>
      <c r="R1259" s="6"/>
    </row>
    <row r="1260">
      <c r="A1260" s="5"/>
      <c r="B1260" s="6"/>
      <c r="C1260" s="5"/>
      <c r="D1260" s="5"/>
      <c r="E1260" s="9"/>
      <c r="F1260" s="5"/>
      <c r="G1260" s="5"/>
      <c r="H1260" s="10"/>
      <c r="I1260" s="6"/>
      <c r="J1260" s="6"/>
      <c r="K1260" s="6"/>
      <c r="L1260" s="6"/>
      <c r="M1260" s="6"/>
      <c r="N1260" s="6"/>
      <c r="O1260" s="6"/>
      <c r="P1260" s="10"/>
      <c r="Q1260" s="6"/>
      <c r="R1260" s="6"/>
    </row>
    <row r="1261">
      <c r="A1261" s="5"/>
      <c r="B1261" s="6"/>
      <c r="C1261" s="5"/>
      <c r="D1261" s="5"/>
      <c r="E1261" s="9"/>
      <c r="F1261" s="5"/>
      <c r="G1261" s="5"/>
      <c r="H1261" s="10"/>
      <c r="I1261" s="6"/>
      <c r="J1261" s="6"/>
      <c r="K1261" s="6"/>
      <c r="L1261" s="6"/>
      <c r="M1261" s="6"/>
      <c r="N1261" s="6"/>
      <c r="O1261" s="6"/>
      <c r="P1261" s="10"/>
      <c r="Q1261" s="6"/>
      <c r="R1261" s="6"/>
    </row>
    <row r="1262">
      <c r="A1262" s="5"/>
      <c r="B1262" s="6"/>
      <c r="C1262" s="5"/>
      <c r="D1262" s="5"/>
      <c r="E1262" s="9"/>
      <c r="F1262" s="5"/>
      <c r="G1262" s="5"/>
      <c r="H1262" s="10"/>
      <c r="I1262" s="6"/>
      <c r="J1262" s="6"/>
      <c r="K1262" s="6"/>
      <c r="L1262" s="6"/>
      <c r="M1262" s="6"/>
      <c r="N1262" s="6"/>
      <c r="O1262" s="6"/>
      <c r="P1262" s="10"/>
      <c r="Q1262" s="6"/>
      <c r="R1262" s="6"/>
    </row>
    <row r="1263">
      <c r="A1263" s="5"/>
      <c r="B1263" s="6"/>
      <c r="C1263" s="5"/>
      <c r="D1263" s="5"/>
      <c r="E1263" s="9"/>
      <c r="F1263" s="5"/>
      <c r="G1263" s="5"/>
      <c r="H1263" s="10"/>
      <c r="I1263" s="6"/>
      <c r="J1263" s="6"/>
      <c r="K1263" s="6"/>
      <c r="L1263" s="6"/>
      <c r="M1263" s="6"/>
      <c r="N1263" s="6"/>
      <c r="O1263" s="6"/>
      <c r="P1263" s="10"/>
      <c r="Q1263" s="6"/>
      <c r="R1263" s="6"/>
    </row>
    <row r="1264">
      <c r="A1264" s="5"/>
      <c r="B1264" s="6"/>
      <c r="C1264" s="5"/>
      <c r="D1264" s="5"/>
      <c r="E1264" s="9"/>
      <c r="F1264" s="5"/>
      <c r="G1264" s="5"/>
      <c r="H1264" s="10"/>
      <c r="I1264" s="6"/>
      <c r="J1264" s="6"/>
      <c r="K1264" s="6"/>
      <c r="L1264" s="6"/>
      <c r="M1264" s="6"/>
      <c r="N1264" s="6"/>
      <c r="O1264" s="6"/>
      <c r="P1264" s="10"/>
      <c r="Q1264" s="6"/>
      <c r="R1264" s="6"/>
    </row>
    <row r="1265">
      <c r="A1265" s="5"/>
      <c r="B1265" s="6"/>
      <c r="C1265" s="5"/>
      <c r="D1265" s="5"/>
      <c r="E1265" s="9"/>
      <c r="F1265" s="5"/>
      <c r="G1265" s="5"/>
      <c r="H1265" s="10"/>
      <c r="I1265" s="6"/>
      <c r="J1265" s="6"/>
      <c r="K1265" s="6"/>
      <c r="L1265" s="6"/>
      <c r="M1265" s="6"/>
      <c r="N1265" s="6"/>
      <c r="O1265" s="6"/>
      <c r="P1265" s="10"/>
      <c r="Q1265" s="6"/>
      <c r="R1265" s="6"/>
    </row>
    <row r="1266">
      <c r="A1266" s="5"/>
      <c r="B1266" s="6"/>
      <c r="C1266" s="5"/>
      <c r="D1266" s="5"/>
      <c r="E1266" s="9"/>
      <c r="F1266" s="5"/>
      <c r="G1266" s="5"/>
      <c r="H1266" s="10"/>
      <c r="I1266" s="6"/>
      <c r="J1266" s="6"/>
      <c r="K1266" s="6"/>
      <c r="L1266" s="6"/>
      <c r="M1266" s="6"/>
      <c r="N1266" s="6"/>
      <c r="O1266" s="6"/>
      <c r="P1266" s="10"/>
      <c r="Q1266" s="6"/>
      <c r="R1266" s="6"/>
    </row>
    <row r="1267">
      <c r="A1267" s="5"/>
      <c r="B1267" s="6"/>
      <c r="C1267" s="5"/>
      <c r="D1267" s="5"/>
      <c r="E1267" s="9"/>
      <c r="F1267" s="5"/>
      <c r="G1267" s="5"/>
      <c r="H1267" s="10"/>
      <c r="I1267" s="6"/>
      <c r="J1267" s="6"/>
      <c r="K1267" s="6"/>
      <c r="L1267" s="6"/>
      <c r="M1267" s="6"/>
      <c r="N1267" s="6"/>
      <c r="O1267" s="6"/>
      <c r="P1267" s="10"/>
      <c r="Q1267" s="6"/>
      <c r="R1267" s="6"/>
    </row>
    <row r="1268">
      <c r="A1268" s="5"/>
      <c r="B1268" s="6"/>
      <c r="C1268" s="5"/>
      <c r="D1268" s="5"/>
      <c r="E1268" s="9"/>
      <c r="F1268" s="5"/>
      <c r="G1268" s="5"/>
      <c r="H1268" s="10"/>
      <c r="I1268" s="6"/>
      <c r="J1268" s="6"/>
      <c r="K1268" s="6"/>
      <c r="L1268" s="6"/>
      <c r="M1268" s="6"/>
      <c r="N1268" s="6"/>
      <c r="O1268" s="6"/>
      <c r="P1268" s="10"/>
      <c r="Q1268" s="6"/>
      <c r="R1268" s="6"/>
    </row>
    <row r="1269">
      <c r="A1269" s="5"/>
      <c r="B1269" s="6"/>
      <c r="C1269" s="5"/>
      <c r="D1269" s="5"/>
      <c r="E1269" s="9"/>
      <c r="F1269" s="5"/>
      <c r="G1269" s="5"/>
      <c r="H1269" s="10"/>
      <c r="I1269" s="6"/>
      <c r="J1269" s="6"/>
      <c r="K1269" s="6"/>
      <c r="L1269" s="6"/>
      <c r="M1269" s="6"/>
      <c r="N1269" s="6"/>
      <c r="O1269" s="6"/>
      <c r="P1269" s="10"/>
      <c r="Q1269" s="6"/>
      <c r="R1269" s="6"/>
    </row>
    <row r="1270">
      <c r="A1270" s="5"/>
      <c r="B1270" s="6"/>
      <c r="C1270" s="5"/>
      <c r="D1270" s="5"/>
      <c r="E1270" s="9"/>
      <c r="F1270" s="5"/>
      <c r="G1270" s="5"/>
      <c r="H1270" s="10"/>
      <c r="I1270" s="6"/>
      <c r="J1270" s="6"/>
      <c r="K1270" s="6"/>
      <c r="L1270" s="6"/>
      <c r="M1270" s="6"/>
      <c r="N1270" s="6"/>
      <c r="O1270" s="6"/>
      <c r="P1270" s="10"/>
      <c r="Q1270" s="6"/>
      <c r="R1270" s="6"/>
    </row>
    <row r="1271">
      <c r="A1271" s="5"/>
      <c r="B1271" s="6"/>
      <c r="C1271" s="5"/>
      <c r="D1271" s="5"/>
      <c r="E1271" s="9"/>
      <c r="F1271" s="5"/>
      <c r="G1271" s="5"/>
      <c r="H1271" s="10"/>
      <c r="I1271" s="6"/>
      <c r="J1271" s="6"/>
      <c r="K1271" s="6"/>
      <c r="L1271" s="6"/>
      <c r="M1271" s="6"/>
      <c r="N1271" s="6"/>
      <c r="O1271" s="6"/>
      <c r="P1271" s="10"/>
      <c r="Q1271" s="6"/>
      <c r="R1271" s="6"/>
    </row>
    <row r="1272">
      <c r="A1272" s="5"/>
      <c r="B1272" s="6"/>
      <c r="C1272" s="5"/>
      <c r="D1272" s="5"/>
      <c r="E1272" s="9"/>
      <c r="F1272" s="5"/>
      <c r="G1272" s="5"/>
      <c r="H1272" s="10"/>
      <c r="I1272" s="6"/>
      <c r="J1272" s="6"/>
      <c r="K1272" s="6"/>
      <c r="L1272" s="6"/>
      <c r="M1272" s="6"/>
      <c r="N1272" s="6"/>
      <c r="O1272" s="6"/>
      <c r="P1272" s="10"/>
      <c r="Q1272" s="6"/>
      <c r="R1272" s="6"/>
    </row>
    <row r="1273">
      <c r="A1273" s="5"/>
      <c r="B1273" s="6"/>
      <c r="C1273" s="5"/>
      <c r="D1273" s="5"/>
      <c r="E1273" s="9"/>
      <c r="F1273" s="5"/>
      <c r="G1273" s="5"/>
      <c r="H1273" s="10"/>
      <c r="I1273" s="6"/>
      <c r="J1273" s="6"/>
      <c r="K1273" s="6"/>
      <c r="L1273" s="6"/>
      <c r="M1273" s="6"/>
      <c r="N1273" s="6"/>
      <c r="O1273" s="6"/>
      <c r="P1273" s="10"/>
      <c r="Q1273" s="6"/>
      <c r="R1273" s="6"/>
    </row>
    <row r="1274">
      <c r="A1274" s="5"/>
      <c r="B1274" s="6"/>
      <c r="C1274" s="5"/>
      <c r="D1274" s="5"/>
      <c r="E1274" s="9"/>
      <c r="F1274" s="5"/>
      <c r="G1274" s="5"/>
      <c r="H1274" s="10"/>
      <c r="I1274" s="6"/>
      <c r="J1274" s="6"/>
      <c r="K1274" s="6"/>
      <c r="L1274" s="6"/>
      <c r="M1274" s="6"/>
      <c r="N1274" s="6"/>
      <c r="O1274" s="6"/>
      <c r="P1274" s="10"/>
      <c r="Q1274" s="6"/>
      <c r="R1274" s="6"/>
    </row>
    <row r="1275">
      <c r="A1275" s="5"/>
      <c r="B1275" s="6"/>
      <c r="C1275" s="5"/>
      <c r="D1275" s="5"/>
      <c r="E1275" s="9"/>
      <c r="F1275" s="5"/>
      <c r="G1275" s="5"/>
      <c r="H1275" s="10"/>
      <c r="I1275" s="6"/>
      <c r="J1275" s="6"/>
      <c r="K1275" s="6"/>
      <c r="L1275" s="6"/>
      <c r="M1275" s="6"/>
      <c r="N1275" s="6"/>
      <c r="O1275" s="6"/>
      <c r="P1275" s="10"/>
      <c r="Q1275" s="6"/>
      <c r="R1275" s="6"/>
    </row>
    <row r="1276">
      <c r="A1276" s="5"/>
      <c r="B1276" s="6"/>
      <c r="C1276" s="5"/>
      <c r="D1276" s="5"/>
      <c r="E1276" s="9"/>
      <c r="F1276" s="5"/>
      <c r="G1276" s="5"/>
      <c r="H1276" s="10"/>
      <c r="I1276" s="6"/>
      <c r="J1276" s="6"/>
      <c r="K1276" s="6"/>
      <c r="L1276" s="6"/>
      <c r="M1276" s="6"/>
      <c r="N1276" s="6"/>
      <c r="O1276" s="6"/>
      <c r="P1276" s="10"/>
      <c r="Q1276" s="6"/>
      <c r="R1276" s="6"/>
    </row>
    <row r="1277">
      <c r="A1277" s="5"/>
      <c r="B1277" s="6"/>
      <c r="C1277" s="5"/>
      <c r="D1277" s="5"/>
      <c r="E1277" s="9"/>
      <c r="F1277" s="5"/>
      <c r="G1277" s="5"/>
      <c r="H1277" s="10"/>
      <c r="I1277" s="6"/>
      <c r="J1277" s="6"/>
      <c r="K1277" s="6"/>
      <c r="L1277" s="6"/>
      <c r="M1277" s="6"/>
      <c r="N1277" s="6"/>
      <c r="O1277" s="6"/>
      <c r="P1277" s="10"/>
      <c r="Q1277" s="6"/>
      <c r="R1277" s="6"/>
    </row>
    <row r="1278">
      <c r="A1278" s="5"/>
      <c r="B1278" s="6"/>
      <c r="C1278" s="5"/>
      <c r="D1278" s="5"/>
      <c r="E1278" s="9"/>
      <c r="F1278" s="5"/>
      <c r="G1278" s="5"/>
      <c r="H1278" s="10"/>
      <c r="I1278" s="6"/>
      <c r="J1278" s="6"/>
      <c r="K1278" s="6"/>
      <c r="L1278" s="6"/>
      <c r="M1278" s="6"/>
      <c r="N1278" s="6"/>
      <c r="O1278" s="6"/>
      <c r="P1278" s="10"/>
      <c r="Q1278" s="6"/>
      <c r="R1278" s="6"/>
    </row>
    <row r="1279">
      <c r="A1279" s="5"/>
      <c r="B1279" s="6"/>
      <c r="C1279" s="5"/>
      <c r="D1279" s="5"/>
      <c r="E1279" s="9"/>
      <c r="F1279" s="5"/>
      <c r="G1279" s="5"/>
      <c r="H1279" s="10"/>
      <c r="I1279" s="6"/>
      <c r="J1279" s="6"/>
      <c r="K1279" s="6"/>
      <c r="L1279" s="6"/>
      <c r="M1279" s="6"/>
      <c r="N1279" s="6"/>
      <c r="O1279" s="6"/>
      <c r="P1279" s="10"/>
      <c r="Q1279" s="6"/>
      <c r="R1279" s="6"/>
    </row>
    <row r="1280">
      <c r="A1280" s="5"/>
      <c r="B1280" s="6"/>
      <c r="C1280" s="5"/>
      <c r="D1280" s="5"/>
      <c r="E1280" s="9"/>
      <c r="F1280" s="5"/>
      <c r="G1280" s="5"/>
      <c r="H1280" s="10"/>
      <c r="I1280" s="6"/>
      <c r="J1280" s="6"/>
      <c r="K1280" s="6"/>
      <c r="L1280" s="6"/>
      <c r="M1280" s="6"/>
      <c r="N1280" s="6"/>
      <c r="O1280" s="6"/>
      <c r="P1280" s="10"/>
      <c r="Q1280" s="6"/>
      <c r="R1280" s="6"/>
    </row>
    <row r="1281">
      <c r="A1281" s="5"/>
      <c r="B1281" s="6"/>
      <c r="C1281" s="5"/>
      <c r="D1281" s="5"/>
      <c r="E1281" s="9"/>
      <c r="F1281" s="5"/>
      <c r="G1281" s="5"/>
      <c r="H1281" s="10"/>
      <c r="I1281" s="6"/>
      <c r="J1281" s="6"/>
      <c r="K1281" s="6"/>
      <c r="L1281" s="6"/>
      <c r="M1281" s="6"/>
      <c r="N1281" s="6"/>
      <c r="O1281" s="6"/>
      <c r="P1281" s="10"/>
      <c r="Q1281" s="6"/>
      <c r="R1281" s="6"/>
    </row>
    <row r="1282">
      <c r="A1282" s="5"/>
      <c r="B1282" s="6"/>
      <c r="C1282" s="5"/>
      <c r="D1282" s="5"/>
      <c r="E1282" s="9"/>
      <c r="F1282" s="5"/>
      <c r="G1282" s="5"/>
      <c r="H1282" s="10"/>
      <c r="I1282" s="6"/>
      <c r="J1282" s="6"/>
      <c r="K1282" s="6"/>
      <c r="L1282" s="6"/>
      <c r="M1282" s="6"/>
      <c r="N1282" s="6"/>
      <c r="O1282" s="6"/>
      <c r="P1282" s="10"/>
      <c r="Q1282" s="6"/>
      <c r="R1282" s="6"/>
    </row>
    <row r="1283">
      <c r="A1283" s="5"/>
      <c r="B1283" s="6"/>
      <c r="C1283" s="5"/>
      <c r="D1283" s="5"/>
      <c r="E1283" s="9"/>
      <c r="F1283" s="5"/>
      <c r="G1283" s="5"/>
      <c r="H1283" s="10"/>
      <c r="I1283" s="6"/>
      <c r="J1283" s="6"/>
      <c r="K1283" s="6"/>
      <c r="L1283" s="6"/>
      <c r="M1283" s="6"/>
      <c r="N1283" s="6"/>
      <c r="O1283" s="6"/>
      <c r="P1283" s="10"/>
      <c r="Q1283" s="6"/>
      <c r="R1283" s="6"/>
    </row>
    <row r="1284">
      <c r="A1284" s="5"/>
      <c r="B1284" s="6"/>
      <c r="C1284" s="5"/>
      <c r="D1284" s="5"/>
      <c r="E1284" s="9"/>
      <c r="F1284" s="5"/>
      <c r="G1284" s="5"/>
      <c r="H1284" s="10"/>
      <c r="I1284" s="6"/>
      <c r="J1284" s="6"/>
      <c r="K1284" s="6"/>
      <c r="L1284" s="6"/>
      <c r="M1284" s="6"/>
      <c r="N1284" s="6"/>
      <c r="O1284" s="6"/>
      <c r="P1284" s="10"/>
      <c r="Q1284" s="6"/>
      <c r="R1284" s="6"/>
    </row>
    <row r="1285">
      <c r="A1285" s="5"/>
      <c r="B1285" s="6"/>
      <c r="C1285" s="5"/>
      <c r="D1285" s="5"/>
      <c r="E1285" s="9"/>
      <c r="F1285" s="5"/>
      <c r="G1285" s="5"/>
      <c r="H1285" s="10"/>
      <c r="I1285" s="6"/>
      <c r="J1285" s="6"/>
      <c r="K1285" s="6"/>
      <c r="L1285" s="6"/>
      <c r="M1285" s="6"/>
      <c r="N1285" s="6"/>
      <c r="O1285" s="6"/>
      <c r="P1285" s="10"/>
      <c r="Q1285" s="6"/>
      <c r="R1285" s="6"/>
    </row>
    <row r="1286">
      <c r="A1286" s="5"/>
      <c r="B1286" s="6"/>
      <c r="C1286" s="5"/>
      <c r="D1286" s="5"/>
      <c r="E1286" s="9"/>
      <c r="F1286" s="5"/>
      <c r="G1286" s="5"/>
      <c r="H1286" s="10"/>
      <c r="I1286" s="6"/>
      <c r="J1286" s="6"/>
      <c r="K1286" s="6"/>
      <c r="L1286" s="6"/>
      <c r="M1286" s="6"/>
      <c r="N1286" s="6"/>
      <c r="O1286" s="6"/>
      <c r="P1286" s="10"/>
      <c r="Q1286" s="6"/>
      <c r="R1286" s="6"/>
    </row>
    <row r="1287">
      <c r="A1287" s="5"/>
      <c r="B1287" s="6"/>
      <c r="C1287" s="5"/>
      <c r="D1287" s="5"/>
      <c r="E1287" s="9"/>
      <c r="F1287" s="5"/>
      <c r="G1287" s="5"/>
      <c r="H1287" s="10"/>
      <c r="I1287" s="6"/>
      <c r="J1287" s="6"/>
      <c r="K1287" s="6"/>
      <c r="L1287" s="6"/>
      <c r="M1287" s="6"/>
      <c r="N1287" s="6"/>
      <c r="O1287" s="6"/>
      <c r="P1287" s="10"/>
      <c r="Q1287" s="6"/>
      <c r="R1287" s="6"/>
    </row>
    <row r="1288">
      <c r="A1288" s="5"/>
      <c r="B1288" s="6"/>
      <c r="C1288" s="5"/>
      <c r="D1288" s="5"/>
      <c r="E1288" s="9"/>
      <c r="F1288" s="5"/>
      <c r="G1288" s="5"/>
      <c r="H1288" s="10"/>
      <c r="I1288" s="6"/>
      <c r="J1288" s="6"/>
      <c r="K1288" s="6"/>
      <c r="L1288" s="6"/>
      <c r="M1288" s="6"/>
      <c r="N1288" s="6"/>
      <c r="O1288" s="6"/>
      <c r="P1288" s="10"/>
      <c r="Q1288" s="6"/>
      <c r="R1288" s="6"/>
    </row>
    <row r="1289">
      <c r="A1289" s="5"/>
      <c r="B1289" s="6"/>
      <c r="C1289" s="5"/>
      <c r="D1289" s="5"/>
      <c r="E1289" s="9"/>
      <c r="F1289" s="5"/>
      <c r="G1289" s="5"/>
      <c r="H1289" s="10"/>
      <c r="I1289" s="6"/>
      <c r="J1289" s="6"/>
      <c r="K1289" s="6"/>
      <c r="L1289" s="6"/>
      <c r="M1289" s="6"/>
      <c r="N1289" s="6"/>
      <c r="O1289" s="6"/>
      <c r="P1289" s="10"/>
      <c r="Q1289" s="6"/>
      <c r="R1289" s="6"/>
    </row>
    <row r="1290">
      <c r="A1290" s="5"/>
      <c r="B1290" s="6"/>
      <c r="C1290" s="5"/>
      <c r="D1290" s="5"/>
      <c r="E1290" s="9"/>
      <c r="F1290" s="5"/>
      <c r="G1290" s="5"/>
      <c r="H1290" s="10"/>
      <c r="I1290" s="6"/>
      <c r="J1290" s="6"/>
      <c r="K1290" s="6"/>
      <c r="L1290" s="6"/>
      <c r="M1290" s="6"/>
      <c r="N1290" s="6"/>
      <c r="O1290" s="6"/>
      <c r="P1290" s="10"/>
      <c r="Q1290" s="6"/>
      <c r="R1290" s="6"/>
    </row>
    <row r="1291">
      <c r="A1291" s="5"/>
      <c r="B1291" s="6"/>
      <c r="C1291" s="5"/>
      <c r="D1291" s="5"/>
      <c r="E1291" s="9"/>
      <c r="F1291" s="5"/>
      <c r="G1291" s="5"/>
      <c r="H1291" s="10"/>
      <c r="I1291" s="6"/>
      <c r="J1291" s="6"/>
      <c r="K1291" s="6"/>
      <c r="L1291" s="6"/>
      <c r="M1291" s="6"/>
      <c r="N1291" s="6"/>
      <c r="O1291" s="6"/>
      <c r="P1291" s="10"/>
      <c r="Q1291" s="6"/>
      <c r="R1291" s="6"/>
    </row>
    <row r="1292">
      <c r="A1292" s="5"/>
      <c r="B1292" s="6"/>
      <c r="C1292" s="5"/>
      <c r="D1292" s="5"/>
      <c r="E1292" s="9"/>
      <c r="F1292" s="5"/>
      <c r="G1292" s="5"/>
      <c r="H1292" s="10"/>
      <c r="I1292" s="6"/>
      <c r="J1292" s="6"/>
      <c r="K1292" s="6"/>
      <c r="L1292" s="6"/>
      <c r="M1292" s="6"/>
      <c r="N1292" s="6"/>
      <c r="O1292" s="6"/>
      <c r="P1292" s="10"/>
      <c r="Q1292" s="6"/>
      <c r="R1292" s="6"/>
    </row>
    <row r="1293">
      <c r="A1293" s="5"/>
      <c r="B1293" s="6"/>
      <c r="C1293" s="5"/>
      <c r="D1293" s="5"/>
      <c r="E1293" s="9"/>
      <c r="F1293" s="5"/>
      <c r="G1293" s="5"/>
      <c r="H1293" s="10"/>
      <c r="I1293" s="6"/>
      <c r="J1293" s="6"/>
      <c r="K1293" s="6"/>
      <c r="L1293" s="6"/>
      <c r="M1293" s="6"/>
      <c r="N1293" s="6"/>
      <c r="O1293" s="6"/>
      <c r="P1293" s="10"/>
      <c r="Q1293" s="6"/>
      <c r="R1293" s="6"/>
    </row>
    <row r="1294">
      <c r="A1294" s="5"/>
      <c r="B1294" s="6"/>
      <c r="C1294" s="5"/>
      <c r="D1294" s="5"/>
      <c r="E1294" s="9"/>
      <c r="F1294" s="5"/>
      <c r="G1294" s="5"/>
      <c r="H1294" s="10"/>
      <c r="I1294" s="6"/>
      <c r="J1294" s="6"/>
      <c r="K1294" s="6"/>
      <c r="L1294" s="6"/>
      <c r="M1294" s="6"/>
      <c r="N1294" s="6"/>
      <c r="O1294" s="6"/>
      <c r="P1294" s="10"/>
      <c r="Q1294" s="6"/>
      <c r="R1294" s="6"/>
    </row>
    <row r="1295">
      <c r="A1295" s="5"/>
      <c r="B1295" s="6"/>
      <c r="C1295" s="5"/>
      <c r="D1295" s="5"/>
      <c r="E1295" s="9"/>
      <c r="F1295" s="5"/>
      <c r="G1295" s="5"/>
      <c r="H1295" s="10"/>
      <c r="I1295" s="6"/>
      <c r="J1295" s="6"/>
      <c r="K1295" s="6"/>
      <c r="L1295" s="6"/>
      <c r="M1295" s="6"/>
      <c r="N1295" s="6"/>
      <c r="O1295" s="6"/>
      <c r="P1295" s="10"/>
      <c r="Q1295" s="6"/>
      <c r="R1295" s="6"/>
    </row>
    <row r="1296">
      <c r="A1296" s="5"/>
      <c r="B1296" s="6"/>
      <c r="C1296" s="5"/>
      <c r="D1296" s="5"/>
      <c r="E1296" s="9"/>
      <c r="F1296" s="5"/>
      <c r="G1296" s="5"/>
      <c r="H1296" s="10"/>
      <c r="I1296" s="6"/>
      <c r="J1296" s="6"/>
      <c r="K1296" s="6"/>
      <c r="L1296" s="6"/>
      <c r="M1296" s="6"/>
      <c r="N1296" s="6"/>
      <c r="O1296" s="6"/>
      <c r="P1296" s="10"/>
      <c r="Q1296" s="6"/>
      <c r="R1296" s="6"/>
    </row>
    <row r="1297">
      <c r="A1297" s="5"/>
      <c r="B1297" s="6"/>
      <c r="C1297" s="5"/>
      <c r="D1297" s="5"/>
      <c r="E1297" s="9"/>
      <c r="F1297" s="5"/>
      <c r="G1297" s="5"/>
      <c r="H1297" s="10"/>
      <c r="I1297" s="6"/>
      <c r="J1297" s="6"/>
      <c r="K1297" s="6"/>
      <c r="L1297" s="6"/>
      <c r="M1297" s="6"/>
      <c r="N1297" s="6"/>
      <c r="O1297" s="6"/>
      <c r="P1297" s="10"/>
      <c r="Q1297" s="6"/>
      <c r="R1297" s="6"/>
    </row>
    <row r="1298">
      <c r="A1298" s="5"/>
      <c r="B1298" s="6"/>
      <c r="C1298" s="5"/>
      <c r="D1298" s="5"/>
      <c r="E1298" s="9"/>
      <c r="F1298" s="5"/>
      <c r="G1298" s="5"/>
      <c r="H1298" s="10"/>
      <c r="I1298" s="6"/>
      <c r="J1298" s="6"/>
      <c r="K1298" s="6"/>
      <c r="L1298" s="6"/>
      <c r="M1298" s="6"/>
      <c r="N1298" s="6"/>
      <c r="O1298" s="6"/>
      <c r="P1298" s="10"/>
      <c r="Q1298" s="6"/>
      <c r="R1298" s="6"/>
    </row>
    <row r="1299">
      <c r="A1299" s="5"/>
      <c r="B1299" s="6"/>
      <c r="C1299" s="5"/>
      <c r="D1299" s="5"/>
      <c r="E1299" s="9"/>
      <c r="F1299" s="5"/>
      <c r="G1299" s="5"/>
      <c r="H1299" s="10"/>
      <c r="I1299" s="6"/>
      <c r="J1299" s="6"/>
      <c r="K1299" s="6"/>
      <c r="L1299" s="6"/>
      <c r="M1299" s="6"/>
      <c r="N1299" s="6"/>
      <c r="O1299" s="6"/>
      <c r="P1299" s="10"/>
      <c r="Q1299" s="6"/>
      <c r="R1299" s="6"/>
    </row>
    <row r="1300">
      <c r="A1300" s="5"/>
      <c r="B1300" s="6"/>
      <c r="C1300" s="5"/>
      <c r="D1300" s="5"/>
      <c r="E1300" s="9"/>
      <c r="F1300" s="5"/>
      <c r="G1300" s="5"/>
      <c r="H1300" s="10"/>
      <c r="I1300" s="6"/>
      <c r="J1300" s="6"/>
      <c r="K1300" s="6"/>
      <c r="L1300" s="6"/>
      <c r="M1300" s="6"/>
      <c r="N1300" s="6"/>
      <c r="O1300" s="6"/>
      <c r="P1300" s="10"/>
      <c r="Q1300" s="6"/>
      <c r="R1300" s="6"/>
    </row>
    <row r="1301">
      <c r="A1301" s="5"/>
      <c r="B1301" s="6"/>
      <c r="C1301" s="5"/>
      <c r="D1301" s="5"/>
      <c r="E1301" s="9"/>
      <c r="F1301" s="5"/>
      <c r="G1301" s="5"/>
      <c r="H1301" s="10"/>
      <c r="I1301" s="6"/>
      <c r="J1301" s="6"/>
      <c r="K1301" s="6"/>
      <c r="L1301" s="6"/>
      <c r="M1301" s="6"/>
      <c r="N1301" s="6"/>
      <c r="O1301" s="6"/>
      <c r="P1301" s="10"/>
      <c r="Q1301" s="6"/>
      <c r="R1301" s="6"/>
    </row>
    <row r="1302">
      <c r="A1302" s="5"/>
      <c r="B1302" s="6"/>
      <c r="C1302" s="5"/>
      <c r="D1302" s="5"/>
      <c r="E1302" s="9"/>
      <c r="F1302" s="5"/>
      <c r="G1302" s="5"/>
      <c r="H1302" s="10"/>
      <c r="I1302" s="6"/>
      <c r="J1302" s="6"/>
      <c r="K1302" s="6"/>
      <c r="L1302" s="6"/>
      <c r="M1302" s="6"/>
      <c r="N1302" s="6"/>
      <c r="O1302" s="6"/>
      <c r="P1302" s="10"/>
      <c r="Q1302" s="6"/>
      <c r="R1302" s="6"/>
    </row>
    <row r="1303">
      <c r="A1303" s="5"/>
      <c r="B1303" s="6"/>
      <c r="C1303" s="5"/>
      <c r="D1303" s="5"/>
      <c r="E1303" s="9"/>
      <c r="F1303" s="5"/>
      <c r="G1303" s="5"/>
      <c r="H1303" s="10"/>
      <c r="I1303" s="6"/>
      <c r="J1303" s="6"/>
      <c r="K1303" s="6"/>
      <c r="L1303" s="6"/>
      <c r="M1303" s="6"/>
      <c r="N1303" s="6"/>
      <c r="O1303" s="6"/>
      <c r="P1303" s="10"/>
      <c r="Q1303" s="6"/>
      <c r="R1303" s="6"/>
    </row>
    <row r="1304">
      <c r="A1304" s="5"/>
      <c r="B1304" s="6"/>
      <c r="C1304" s="5"/>
      <c r="D1304" s="5"/>
      <c r="E1304" s="9"/>
      <c r="F1304" s="5"/>
      <c r="G1304" s="5"/>
      <c r="H1304" s="10"/>
      <c r="I1304" s="6"/>
      <c r="J1304" s="6"/>
      <c r="K1304" s="6"/>
      <c r="L1304" s="6"/>
      <c r="M1304" s="6"/>
      <c r="N1304" s="6"/>
      <c r="O1304" s="6"/>
      <c r="P1304" s="10"/>
      <c r="Q1304" s="6"/>
      <c r="R1304" s="6"/>
    </row>
    <row r="1305">
      <c r="A1305" s="5"/>
      <c r="B1305" s="6"/>
      <c r="C1305" s="5"/>
      <c r="D1305" s="5"/>
      <c r="E1305" s="9"/>
      <c r="F1305" s="5"/>
      <c r="G1305" s="5"/>
      <c r="H1305" s="10"/>
      <c r="I1305" s="6"/>
      <c r="J1305" s="6"/>
      <c r="K1305" s="6"/>
      <c r="L1305" s="6"/>
      <c r="M1305" s="6"/>
      <c r="N1305" s="6"/>
      <c r="O1305" s="6"/>
      <c r="P1305" s="10"/>
      <c r="Q1305" s="6"/>
      <c r="R1305" s="6"/>
    </row>
    <row r="1306">
      <c r="A1306" s="5"/>
      <c r="B1306" s="6"/>
      <c r="C1306" s="5"/>
      <c r="D1306" s="5"/>
      <c r="E1306" s="9"/>
      <c r="F1306" s="5"/>
      <c r="G1306" s="5"/>
      <c r="H1306" s="10"/>
      <c r="I1306" s="6"/>
      <c r="J1306" s="6"/>
      <c r="K1306" s="6"/>
      <c r="L1306" s="6"/>
      <c r="M1306" s="6"/>
      <c r="N1306" s="6"/>
      <c r="O1306" s="6"/>
      <c r="P1306" s="10"/>
      <c r="Q1306" s="6"/>
      <c r="R1306" s="6"/>
    </row>
    <row r="1307">
      <c r="A1307" s="5"/>
      <c r="B1307" s="6"/>
      <c r="C1307" s="5"/>
      <c r="D1307" s="5"/>
      <c r="E1307" s="9"/>
      <c r="F1307" s="5"/>
      <c r="G1307" s="5"/>
      <c r="H1307" s="10"/>
      <c r="I1307" s="6"/>
      <c r="J1307" s="6"/>
      <c r="K1307" s="6"/>
      <c r="L1307" s="6"/>
      <c r="M1307" s="6"/>
      <c r="N1307" s="6"/>
      <c r="O1307" s="6"/>
      <c r="P1307" s="10"/>
      <c r="Q1307" s="6"/>
      <c r="R1307" s="6"/>
    </row>
    <row r="1308">
      <c r="A1308" s="5"/>
      <c r="B1308" s="6"/>
      <c r="C1308" s="5"/>
      <c r="D1308" s="5"/>
      <c r="E1308" s="9"/>
      <c r="F1308" s="5"/>
      <c r="G1308" s="5"/>
      <c r="H1308" s="10"/>
      <c r="I1308" s="6"/>
      <c r="J1308" s="6"/>
      <c r="K1308" s="6"/>
      <c r="L1308" s="6"/>
      <c r="M1308" s="6"/>
      <c r="N1308" s="6"/>
      <c r="O1308" s="6"/>
      <c r="P1308" s="10"/>
      <c r="Q1308" s="6"/>
      <c r="R1308" s="6"/>
    </row>
    <row r="1309">
      <c r="A1309" s="5"/>
      <c r="B1309" s="6"/>
      <c r="C1309" s="5"/>
      <c r="D1309" s="5"/>
      <c r="E1309" s="9"/>
      <c r="F1309" s="5"/>
      <c r="G1309" s="5"/>
      <c r="H1309" s="10"/>
      <c r="I1309" s="6"/>
      <c r="J1309" s="6"/>
      <c r="K1309" s="6"/>
      <c r="L1309" s="6"/>
      <c r="M1309" s="6"/>
      <c r="N1309" s="6"/>
      <c r="O1309" s="6"/>
      <c r="P1309" s="10"/>
      <c r="Q1309" s="6"/>
      <c r="R1309" s="6"/>
    </row>
    <row r="1310">
      <c r="A1310" s="5"/>
      <c r="B1310" s="6"/>
      <c r="C1310" s="5"/>
      <c r="D1310" s="5"/>
      <c r="E1310" s="9"/>
      <c r="F1310" s="5"/>
      <c r="G1310" s="5"/>
      <c r="H1310" s="10"/>
      <c r="I1310" s="6"/>
      <c r="J1310" s="6"/>
      <c r="K1310" s="6"/>
      <c r="L1310" s="6"/>
      <c r="M1310" s="6"/>
      <c r="N1310" s="6"/>
      <c r="O1310" s="6"/>
      <c r="P1310" s="10"/>
      <c r="Q1310" s="6"/>
      <c r="R1310" s="6"/>
    </row>
    <row r="1311">
      <c r="A1311" s="5"/>
      <c r="B1311" s="6"/>
      <c r="C1311" s="5"/>
      <c r="D1311" s="5"/>
      <c r="E1311" s="9"/>
      <c r="F1311" s="5"/>
      <c r="G1311" s="5"/>
      <c r="H1311" s="10"/>
      <c r="I1311" s="6"/>
      <c r="J1311" s="6"/>
      <c r="K1311" s="6"/>
      <c r="L1311" s="6"/>
      <c r="M1311" s="6"/>
      <c r="N1311" s="6"/>
      <c r="O1311" s="6"/>
      <c r="P1311" s="10"/>
      <c r="Q1311" s="6"/>
      <c r="R1311" s="6"/>
    </row>
    <row r="1312">
      <c r="A1312" s="5"/>
      <c r="B1312" s="6"/>
      <c r="C1312" s="5"/>
      <c r="D1312" s="5"/>
      <c r="E1312" s="9"/>
      <c r="F1312" s="5"/>
      <c r="G1312" s="5"/>
      <c r="H1312" s="10"/>
      <c r="I1312" s="6"/>
      <c r="J1312" s="6"/>
      <c r="K1312" s="6"/>
      <c r="L1312" s="6"/>
      <c r="M1312" s="6"/>
      <c r="N1312" s="6"/>
      <c r="O1312" s="6"/>
      <c r="P1312" s="10"/>
      <c r="Q1312" s="6"/>
      <c r="R1312" s="6"/>
    </row>
    <row r="1313">
      <c r="A1313" s="5"/>
      <c r="B1313" s="6"/>
      <c r="C1313" s="5"/>
      <c r="D1313" s="5"/>
      <c r="E1313" s="9"/>
      <c r="F1313" s="5"/>
      <c r="G1313" s="5"/>
      <c r="H1313" s="10"/>
      <c r="I1313" s="6"/>
      <c r="J1313" s="6"/>
      <c r="K1313" s="6"/>
      <c r="L1313" s="6"/>
      <c r="M1313" s="6"/>
      <c r="N1313" s="6"/>
      <c r="O1313" s="6"/>
      <c r="P1313" s="10"/>
      <c r="Q1313" s="6"/>
      <c r="R1313" s="6"/>
    </row>
    <row r="1314">
      <c r="A1314" s="5"/>
      <c r="B1314" s="6"/>
      <c r="C1314" s="5"/>
      <c r="D1314" s="5"/>
      <c r="E1314" s="9"/>
      <c r="F1314" s="5"/>
      <c r="G1314" s="5"/>
      <c r="H1314" s="10"/>
      <c r="I1314" s="6"/>
      <c r="J1314" s="6"/>
      <c r="K1314" s="6"/>
      <c r="L1314" s="6"/>
      <c r="M1314" s="6"/>
      <c r="N1314" s="6"/>
      <c r="O1314" s="6"/>
      <c r="P1314" s="10"/>
      <c r="Q1314" s="6"/>
      <c r="R1314" s="6"/>
    </row>
    <row r="1315">
      <c r="A1315" s="5"/>
      <c r="B1315" s="6"/>
      <c r="C1315" s="5"/>
      <c r="D1315" s="5"/>
      <c r="E1315" s="9"/>
      <c r="F1315" s="5"/>
      <c r="G1315" s="5"/>
      <c r="H1315" s="10"/>
      <c r="I1315" s="6"/>
      <c r="J1315" s="6"/>
      <c r="K1315" s="6"/>
      <c r="L1315" s="6"/>
      <c r="M1315" s="6"/>
      <c r="N1315" s="6"/>
      <c r="O1315" s="6"/>
      <c r="P1315" s="10"/>
      <c r="Q1315" s="6"/>
      <c r="R1315" s="6"/>
    </row>
    <row r="1316">
      <c r="A1316" s="5"/>
      <c r="B1316" s="6"/>
      <c r="C1316" s="5"/>
      <c r="D1316" s="5"/>
      <c r="E1316" s="9"/>
      <c r="F1316" s="5"/>
      <c r="G1316" s="5"/>
      <c r="H1316" s="10"/>
      <c r="I1316" s="6"/>
      <c r="J1316" s="6"/>
      <c r="K1316" s="6"/>
      <c r="L1316" s="6"/>
      <c r="M1316" s="6"/>
      <c r="N1316" s="6"/>
      <c r="O1316" s="6"/>
      <c r="P1316" s="10"/>
      <c r="Q1316" s="6"/>
      <c r="R1316" s="6"/>
    </row>
    <row r="1317">
      <c r="A1317" s="5"/>
      <c r="B1317" s="6"/>
      <c r="C1317" s="5"/>
      <c r="D1317" s="5"/>
      <c r="E1317" s="9"/>
      <c r="F1317" s="5"/>
      <c r="G1317" s="5"/>
      <c r="H1317" s="10"/>
      <c r="I1317" s="6"/>
      <c r="J1317" s="6"/>
      <c r="K1317" s="6"/>
      <c r="L1317" s="6"/>
      <c r="M1317" s="6"/>
      <c r="N1317" s="6"/>
      <c r="O1317" s="6"/>
      <c r="P1317" s="10"/>
      <c r="Q1317" s="6"/>
      <c r="R1317" s="6"/>
    </row>
    <row r="1318">
      <c r="A1318" s="5"/>
      <c r="B1318" s="6"/>
      <c r="C1318" s="5"/>
      <c r="D1318" s="5"/>
      <c r="E1318" s="9"/>
      <c r="F1318" s="5"/>
      <c r="G1318" s="5"/>
      <c r="H1318" s="10"/>
      <c r="I1318" s="6"/>
      <c r="J1318" s="6"/>
      <c r="K1318" s="6"/>
      <c r="L1318" s="6"/>
      <c r="M1318" s="6"/>
      <c r="N1318" s="6"/>
      <c r="O1318" s="6"/>
      <c r="P1318" s="10"/>
      <c r="Q1318" s="6"/>
      <c r="R1318" s="6"/>
    </row>
    <row r="1319">
      <c r="A1319" s="5"/>
      <c r="B1319" s="6"/>
      <c r="C1319" s="5"/>
      <c r="D1319" s="5"/>
      <c r="E1319" s="9"/>
      <c r="F1319" s="5"/>
      <c r="G1319" s="5"/>
      <c r="H1319" s="10"/>
      <c r="I1319" s="6"/>
      <c r="J1319" s="6"/>
      <c r="K1319" s="6"/>
      <c r="L1319" s="6"/>
      <c r="M1319" s="6"/>
      <c r="N1319" s="6"/>
      <c r="O1319" s="6"/>
      <c r="P1319" s="10"/>
      <c r="Q1319" s="6"/>
      <c r="R1319" s="6"/>
    </row>
    <row r="1320">
      <c r="A1320" s="5"/>
      <c r="B1320" s="6"/>
      <c r="C1320" s="5"/>
      <c r="D1320" s="5"/>
      <c r="E1320" s="9"/>
      <c r="F1320" s="5"/>
      <c r="G1320" s="5"/>
      <c r="H1320" s="10"/>
      <c r="I1320" s="6"/>
      <c r="J1320" s="6"/>
      <c r="K1320" s="6"/>
      <c r="L1320" s="6"/>
      <c r="M1320" s="6"/>
      <c r="N1320" s="6"/>
      <c r="O1320" s="6"/>
      <c r="P1320" s="10"/>
      <c r="Q1320" s="6"/>
      <c r="R1320" s="6"/>
    </row>
    <row r="1321">
      <c r="A1321" s="5"/>
      <c r="B1321" s="6"/>
      <c r="C1321" s="5"/>
      <c r="D1321" s="5"/>
      <c r="E1321" s="9"/>
      <c r="F1321" s="5"/>
      <c r="G1321" s="5"/>
      <c r="H1321" s="10"/>
      <c r="I1321" s="6"/>
      <c r="J1321" s="6"/>
      <c r="K1321" s="6"/>
      <c r="L1321" s="6"/>
      <c r="M1321" s="6"/>
      <c r="N1321" s="6"/>
      <c r="O1321" s="6"/>
      <c r="P1321" s="10"/>
      <c r="Q1321" s="6"/>
      <c r="R1321" s="6"/>
    </row>
    <row r="1322">
      <c r="A1322" s="5"/>
      <c r="B1322" s="6"/>
      <c r="C1322" s="5"/>
      <c r="D1322" s="5"/>
      <c r="E1322" s="9"/>
      <c r="F1322" s="5"/>
      <c r="G1322" s="5"/>
      <c r="H1322" s="10"/>
      <c r="I1322" s="6"/>
      <c r="J1322" s="6"/>
      <c r="K1322" s="6"/>
      <c r="L1322" s="6"/>
      <c r="M1322" s="6"/>
      <c r="N1322" s="6"/>
      <c r="O1322" s="6"/>
      <c r="P1322" s="10"/>
      <c r="Q1322" s="6"/>
      <c r="R1322" s="6"/>
    </row>
    <row r="1323">
      <c r="A1323" s="5"/>
      <c r="B1323" s="6"/>
      <c r="C1323" s="5"/>
      <c r="D1323" s="5"/>
      <c r="E1323" s="9"/>
      <c r="F1323" s="5"/>
      <c r="G1323" s="5"/>
      <c r="H1323" s="10"/>
      <c r="I1323" s="6"/>
      <c r="J1323" s="6"/>
      <c r="K1323" s="6"/>
      <c r="L1323" s="6"/>
      <c r="M1323" s="6"/>
      <c r="N1323" s="6"/>
      <c r="O1323" s="6"/>
      <c r="P1323" s="10"/>
      <c r="Q1323" s="6"/>
      <c r="R1323" s="6"/>
    </row>
    <row r="1324">
      <c r="A1324" s="5"/>
      <c r="B1324" s="6"/>
      <c r="C1324" s="5"/>
      <c r="D1324" s="5"/>
      <c r="E1324" s="9"/>
      <c r="F1324" s="5"/>
      <c r="G1324" s="5"/>
      <c r="H1324" s="10"/>
      <c r="I1324" s="6"/>
      <c r="J1324" s="6"/>
      <c r="K1324" s="6"/>
      <c r="L1324" s="6"/>
      <c r="M1324" s="6"/>
      <c r="N1324" s="6"/>
      <c r="O1324" s="6"/>
      <c r="P1324" s="10"/>
      <c r="Q1324" s="6"/>
      <c r="R1324" s="6"/>
    </row>
    <row r="1325">
      <c r="A1325" s="5"/>
      <c r="B1325" s="6"/>
      <c r="C1325" s="5"/>
      <c r="D1325" s="5"/>
      <c r="E1325" s="9"/>
      <c r="F1325" s="5"/>
      <c r="G1325" s="5"/>
      <c r="H1325" s="10"/>
      <c r="I1325" s="6"/>
      <c r="J1325" s="6"/>
      <c r="K1325" s="6"/>
      <c r="L1325" s="6"/>
      <c r="M1325" s="6"/>
      <c r="N1325" s="6"/>
      <c r="O1325" s="6"/>
      <c r="P1325" s="10"/>
      <c r="Q1325" s="6"/>
      <c r="R1325" s="6"/>
    </row>
    <row r="1326">
      <c r="A1326" s="5"/>
      <c r="B1326" s="6"/>
      <c r="C1326" s="5"/>
      <c r="D1326" s="5"/>
      <c r="E1326" s="9"/>
      <c r="F1326" s="5"/>
      <c r="G1326" s="5"/>
      <c r="H1326" s="10"/>
      <c r="I1326" s="6"/>
      <c r="J1326" s="6"/>
      <c r="K1326" s="6"/>
      <c r="L1326" s="6"/>
      <c r="M1326" s="6"/>
      <c r="N1326" s="6"/>
      <c r="O1326" s="6"/>
      <c r="P1326" s="10"/>
      <c r="Q1326" s="6"/>
      <c r="R1326" s="6"/>
    </row>
    <row r="1327">
      <c r="A1327" s="5"/>
      <c r="B1327" s="6"/>
      <c r="C1327" s="5"/>
      <c r="D1327" s="5"/>
      <c r="E1327" s="9"/>
      <c r="F1327" s="5"/>
      <c r="G1327" s="5"/>
      <c r="H1327" s="10"/>
      <c r="I1327" s="6"/>
      <c r="J1327" s="6"/>
      <c r="K1327" s="6"/>
      <c r="L1327" s="6"/>
      <c r="M1327" s="6"/>
      <c r="N1327" s="6"/>
      <c r="O1327" s="6"/>
      <c r="P1327" s="10"/>
      <c r="Q1327" s="6"/>
      <c r="R1327" s="6"/>
    </row>
    <row r="1328">
      <c r="A1328" s="5"/>
      <c r="B1328" s="6"/>
      <c r="C1328" s="5"/>
      <c r="D1328" s="5"/>
      <c r="E1328" s="9"/>
      <c r="F1328" s="5"/>
      <c r="G1328" s="5"/>
      <c r="H1328" s="10"/>
      <c r="I1328" s="6"/>
      <c r="J1328" s="6"/>
      <c r="K1328" s="6"/>
      <c r="L1328" s="6"/>
      <c r="M1328" s="6"/>
      <c r="N1328" s="6"/>
      <c r="O1328" s="6"/>
      <c r="P1328" s="10"/>
      <c r="Q1328" s="6"/>
      <c r="R1328" s="6"/>
    </row>
    <row r="1329">
      <c r="A1329" s="5"/>
      <c r="B1329" s="6"/>
      <c r="C1329" s="5"/>
      <c r="D1329" s="5"/>
      <c r="E1329" s="9"/>
      <c r="F1329" s="5"/>
      <c r="G1329" s="5"/>
      <c r="H1329" s="10"/>
      <c r="I1329" s="6"/>
      <c r="J1329" s="6"/>
      <c r="K1329" s="6"/>
      <c r="L1329" s="6"/>
      <c r="M1329" s="6"/>
      <c r="N1329" s="6"/>
      <c r="O1329" s="6"/>
      <c r="P1329" s="10"/>
      <c r="Q1329" s="6"/>
      <c r="R1329" s="6"/>
    </row>
    <row r="1330">
      <c r="A1330" s="5"/>
      <c r="B1330" s="6"/>
      <c r="C1330" s="5"/>
      <c r="D1330" s="5"/>
      <c r="E1330" s="9"/>
      <c r="F1330" s="5"/>
      <c r="G1330" s="5"/>
      <c r="H1330" s="10"/>
      <c r="I1330" s="6"/>
      <c r="J1330" s="6"/>
      <c r="K1330" s="6"/>
      <c r="L1330" s="6"/>
      <c r="M1330" s="6"/>
      <c r="N1330" s="6"/>
      <c r="O1330" s="6"/>
      <c r="P1330" s="10"/>
      <c r="Q1330" s="6"/>
      <c r="R1330" s="6"/>
    </row>
    <row r="1331">
      <c r="A1331" s="5"/>
      <c r="B1331" s="6"/>
      <c r="C1331" s="5"/>
      <c r="D1331" s="5"/>
      <c r="E1331" s="9"/>
      <c r="F1331" s="5"/>
      <c r="G1331" s="5"/>
      <c r="H1331" s="10"/>
      <c r="I1331" s="6"/>
      <c r="J1331" s="6"/>
      <c r="K1331" s="6"/>
      <c r="L1331" s="6"/>
      <c r="M1331" s="6"/>
      <c r="N1331" s="6"/>
      <c r="O1331" s="6"/>
      <c r="P1331" s="10"/>
      <c r="Q1331" s="6"/>
      <c r="R1331" s="6"/>
    </row>
    <row r="1332">
      <c r="A1332" s="5"/>
      <c r="B1332" s="6"/>
      <c r="C1332" s="5"/>
      <c r="D1332" s="5"/>
      <c r="E1332" s="9"/>
      <c r="F1332" s="5"/>
      <c r="G1332" s="5"/>
      <c r="H1332" s="10"/>
      <c r="I1332" s="6"/>
      <c r="J1332" s="6"/>
      <c r="K1332" s="6"/>
      <c r="L1332" s="6"/>
      <c r="M1332" s="6"/>
      <c r="N1332" s="6"/>
      <c r="O1332" s="6"/>
      <c r="P1332" s="10"/>
      <c r="Q1332" s="6"/>
      <c r="R1332" s="6"/>
    </row>
    <row r="1333">
      <c r="A1333" s="5"/>
      <c r="B1333" s="6"/>
      <c r="C1333" s="5"/>
      <c r="D1333" s="5"/>
      <c r="E1333" s="9"/>
      <c r="F1333" s="5"/>
      <c r="G1333" s="5"/>
      <c r="H1333" s="10"/>
      <c r="I1333" s="6"/>
      <c r="J1333" s="6"/>
      <c r="K1333" s="6"/>
      <c r="L1333" s="6"/>
      <c r="M1333" s="6"/>
      <c r="N1333" s="6"/>
      <c r="O1333" s="6"/>
      <c r="P1333" s="10"/>
      <c r="Q1333" s="6"/>
      <c r="R1333" s="6"/>
    </row>
    <row r="1334">
      <c r="A1334" s="5"/>
      <c r="B1334" s="6"/>
      <c r="C1334" s="5"/>
      <c r="D1334" s="5"/>
      <c r="E1334" s="9"/>
      <c r="F1334" s="5"/>
      <c r="G1334" s="5"/>
      <c r="H1334" s="10"/>
      <c r="I1334" s="6"/>
      <c r="J1334" s="6"/>
      <c r="K1334" s="6"/>
      <c r="L1334" s="6"/>
      <c r="M1334" s="6"/>
      <c r="N1334" s="6"/>
      <c r="O1334" s="6"/>
      <c r="P1334" s="10"/>
      <c r="Q1334" s="6"/>
      <c r="R1334" s="6"/>
    </row>
    <row r="1335">
      <c r="A1335" s="5"/>
      <c r="B1335" s="6"/>
      <c r="C1335" s="5"/>
      <c r="D1335" s="5"/>
      <c r="E1335" s="9"/>
      <c r="F1335" s="5"/>
      <c r="G1335" s="5"/>
      <c r="H1335" s="10"/>
      <c r="I1335" s="6"/>
      <c r="J1335" s="6"/>
      <c r="K1335" s="6"/>
      <c r="L1335" s="6"/>
      <c r="M1335" s="6"/>
      <c r="N1335" s="6"/>
      <c r="O1335" s="6"/>
      <c r="P1335" s="10"/>
      <c r="Q1335" s="6"/>
      <c r="R1335" s="6"/>
    </row>
    <row r="1336">
      <c r="A1336" s="5"/>
      <c r="B1336" s="6"/>
      <c r="C1336" s="5"/>
      <c r="D1336" s="5"/>
      <c r="E1336" s="9"/>
      <c r="F1336" s="5"/>
      <c r="G1336" s="5"/>
      <c r="H1336" s="10"/>
      <c r="I1336" s="6"/>
      <c r="J1336" s="6"/>
      <c r="K1336" s="6"/>
      <c r="L1336" s="6"/>
      <c r="M1336" s="6"/>
      <c r="N1336" s="6"/>
      <c r="O1336" s="6"/>
      <c r="P1336" s="10"/>
      <c r="Q1336" s="6"/>
      <c r="R1336" s="6"/>
    </row>
    <row r="1337">
      <c r="A1337" s="5"/>
      <c r="B1337" s="6"/>
      <c r="C1337" s="5"/>
      <c r="D1337" s="5"/>
      <c r="E1337" s="9"/>
      <c r="F1337" s="5"/>
      <c r="G1337" s="5"/>
      <c r="H1337" s="10"/>
      <c r="I1337" s="6"/>
      <c r="J1337" s="6"/>
      <c r="K1337" s="6"/>
      <c r="L1337" s="6"/>
      <c r="M1337" s="6"/>
      <c r="N1337" s="6"/>
      <c r="O1337" s="6"/>
      <c r="P1337" s="10"/>
      <c r="Q1337" s="6"/>
      <c r="R1337" s="6"/>
    </row>
    <row r="1338">
      <c r="A1338" s="5"/>
      <c r="B1338" s="6"/>
      <c r="C1338" s="5"/>
      <c r="D1338" s="5"/>
      <c r="E1338" s="9"/>
      <c r="F1338" s="5"/>
      <c r="G1338" s="5"/>
      <c r="H1338" s="10"/>
      <c r="I1338" s="6"/>
      <c r="J1338" s="6"/>
      <c r="K1338" s="6"/>
      <c r="L1338" s="6"/>
      <c r="M1338" s="6"/>
      <c r="N1338" s="6"/>
      <c r="O1338" s="6"/>
      <c r="P1338" s="10"/>
      <c r="Q1338" s="6"/>
      <c r="R1338" s="6"/>
    </row>
    <row r="1339">
      <c r="A1339" s="5"/>
      <c r="B1339" s="6"/>
      <c r="C1339" s="5"/>
      <c r="D1339" s="5"/>
      <c r="E1339" s="9"/>
      <c r="F1339" s="5"/>
      <c r="G1339" s="5"/>
      <c r="H1339" s="10"/>
      <c r="I1339" s="6"/>
      <c r="J1339" s="6"/>
      <c r="K1339" s="6"/>
      <c r="L1339" s="6"/>
      <c r="M1339" s="6"/>
      <c r="N1339" s="6"/>
      <c r="O1339" s="6"/>
      <c r="P1339" s="10"/>
      <c r="Q1339" s="6"/>
      <c r="R1339" s="6"/>
    </row>
    <row r="1340">
      <c r="A1340" s="5"/>
      <c r="B1340" s="6"/>
      <c r="C1340" s="5"/>
      <c r="D1340" s="5"/>
      <c r="E1340" s="9"/>
      <c r="F1340" s="5"/>
      <c r="G1340" s="5"/>
      <c r="H1340" s="10"/>
      <c r="I1340" s="6"/>
      <c r="J1340" s="6"/>
      <c r="K1340" s="6"/>
      <c r="L1340" s="6"/>
      <c r="M1340" s="6"/>
      <c r="N1340" s="6"/>
      <c r="O1340" s="6"/>
      <c r="P1340" s="10"/>
      <c r="Q1340" s="6"/>
      <c r="R1340" s="6"/>
    </row>
    <row r="1341">
      <c r="A1341" s="5"/>
      <c r="B1341" s="6"/>
      <c r="C1341" s="5"/>
      <c r="D1341" s="5"/>
      <c r="E1341" s="9"/>
      <c r="F1341" s="5"/>
      <c r="G1341" s="5"/>
      <c r="H1341" s="10"/>
      <c r="I1341" s="6"/>
      <c r="J1341" s="6"/>
      <c r="K1341" s="6"/>
      <c r="L1341" s="6"/>
      <c r="M1341" s="6"/>
      <c r="N1341" s="6"/>
      <c r="O1341" s="6"/>
      <c r="P1341" s="10"/>
      <c r="Q1341" s="6"/>
      <c r="R1341" s="6"/>
    </row>
    <row r="1342">
      <c r="A1342" s="5"/>
      <c r="B1342" s="6"/>
      <c r="C1342" s="5"/>
      <c r="D1342" s="5"/>
      <c r="E1342" s="9"/>
      <c r="F1342" s="5"/>
      <c r="G1342" s="5"/>
      <c r="H1342" s="10"/>
      <c r="I1342" s="6"/>
      <c r="J1342" s="6"/>
      <c r="K1342" s="6"/>
      <c r="L1342" s="6"/>
      <c r="M1342" s="6"/>
      <c r="N1342" s="6"/>
      <c r="O1342" s="6"/>
      <c r="P1342" s="10"/>
      <c r="Q1342" s="6"/>
      <c r="R1342" s="6"/>
    </row>
    <row r="1343">
      <c r="A1343" s="5"/>
      <c r="B1343" s="6"/>
      <c r="C1343" s="5"/>
      <c r="D1343" s="5"/>
      <c r="E1343" s="9"/>
      <c r="F1343" s="5"/>
      <c r="G1343" s="5"/>
      <c r="H1343" s="10"/>
      <c r="I1343" s="6"/>
      <c r="J1343" s="6"/>
      <c r="K1343" s="6"/>
      <c r="L1343" s="6"/>
      <c r="M1343" s="6"/>
      <c r="N1343" s="6"/>
      <c r="O1343" s="6"/>
      <c r="P1343" s="10"/>
      <c r="Q1343" s="6"/>
      <c r="R1343" s="6"/>
    </row>
    <row r="1344">
      <c r="A1344" s="5"/>
      <c r="B1344" s="6"/>
      <c r="C1344" s="5"/>
      <c r="D1344" s="5"/>
      <c r="E1344" s="9"/>
      <c r="F1344" s="5"/>
      <c r="G1344" s="5"/>
      <c r="H1344" s="10"/>
      <c r="I1344" s="6"/>
      <c r="J1344" s="6"/>
      <c r="K1344" s="6"/>
      <c r="L1344" s="6"/>
      <c r="M1344" s="6"/>
      <c r="N1344" s="6"/>
      <c r="O1344" s="6"/>
      <c r="P1344" s="10"/>
      <c r="Q1344" s="6"/>
      <c r="R1344" s="6"/>
    </row>
    <row r="1345">
      <c r="A1345" s="5"/>
      <c r="B1345" s="6"/>
      <c r="C1345" s="5"/>
      <c r="D1345" s="5"/>
      <c r="E1345" s="9"/>
      <c r="F1345" s="5"/>
      <c r="G1345" s="5"/>
      <c r="H1345" s="10"/>
      <c r="I1345" s="6"/>
      <c r="J1345" s="6"/>
      <c r="K1345" s="6"/>
      <c r="L1345" s="6"/>
      <c r="M1345" s="6"/>
      <c r="N1345" s="6"/>
      <c r="O1345" s="6"/>
      <c r="P1345" s="10"/>
      <c r="Q1345" s="6"/>
      <c r="R1345" s="6"/>
    </row>
    <row r="1346">
      <c r="A1346" s="5"/>
      <c r="B1346" s="6"/>
      <c r="C1346" s="5"/>
      <c r="D1346" s="5"/>
      <c r="E1346" s="9"/>
      <c r="F1346" s="5"/>
      <c r="G1346" s="5"/>
      <c r="H1346" s="10"/>
      <c r="I1346" s="6"/>
      <c r="J1346" s="6"/>
      <c r="K1346" s="6"/>
      <c r="L1346" s="6"/>
      <c r="M1346" s="6"/>
      <c r="N1346" s="6"/>
      <c r="O1346" s="6"/>
      <c r="P1346" s="10"/>
      <c r="Q1346" s="6"/>
      <c r="R1346" s="6"/>
    </row>
    <row r="1347">
      <c r="A1347" s="5"/>
      <c r="B1347" s="6"/>
      <c r="C1347" s="5"/>
      <c r="D1347" s="5"/>
      <c r="E1347" s="9"/>
      <c r="F1347" s="5"/>
      <c r="G1347" s="5"/>
      <c r="H1347" s="10"/>
      <c r="I1347" s="6"/>
      <c r="J1347" s="6"/>
      <c r="K1347" s="6"/>
      <c r="L1347" s="6"/>
      <c r="M1347" s="6"/>
      <c r="N1347" s="6"/>
      <c r="O1347" s="6"/>
      <c r="P1347" s="10"/>
      <c r="Q1347" s="6"/>
      <c r="R1347" s="6"/>
    </row>
    <row r="1348">
      <c r="A1348" s="5"/>
      <c r="B1348" s="6"/>
      <c r="C1348" s="5"/>
      <c r="D1348" s="5"/>
      <c r="E1348" s="9"/>
      <c r="F1348" s="5"/>
      <c r="G1348" s="5"/>
      <c r="H1348" s="10"/>
      <c r="I1348" s="6"/>
      <c r="J1348" s="6"/>
      <c r="K1348" s="6"/>
      <c r="L1348" s="6"/>
      <c r="M1348" s="6"/>
      <c r="N1348" s="6"/>
      <c r="O1348" s="6"/>
      <c r="P1348" s="10"/>
      <c r="Q1348" s="6"/>
      <c r="R1348" s="6"/>
    </row>
    <row r="1349">
      <c r="A1349" s="5"/>
      <c r="B1349" s="6"/>
      <c r="C1349" s="5"/>
      <c r="D1349" s="5"/>
      <c r="E1349" s="9"/>
      <c r="F1349" s="5"/>
      <c r="G1349" s="5"/>
      <c r="H1349" s="10"/>
      <c r="I1349" s="6"/>
      <c r="J1349" s="6"/>
      <c r="K1349" s="6"/>
      <c r="L1349" s="6"/>
      <c r="M1349" s="6"/>
      <c r="N1349" s="6"/>
      <c r="O1349" s="6"/>
      <c r="P1349" s="10"/>
      <c r="Q1349" s="6"/>
      <c r="R1349" s="6"/>
    </row>
    <row r="1350">
      <c r="A1350" s="5"/>
      <c r="B1350" s="6"/>
      <c r="C1350" s="5"/>
      <c r="D1350" s="5"/>
      <c r="E1350" s="9"/>
      <c r="F1350" s="5"/>
      <c r="G1350" s="5"/>
      <c r="H1350" s="10"/>
      <c r="I1350" s="6"/>
      <c r="J1350" s="6"/>
      <c r="K1350" s="6"/>
      <c r="L1350" s="6"/>
      <c r="M1350" s="6"/>
      <c r="N1350" s="6"/>
      <c r="O1350" s="6"/>
      <c r="P1350" s="10"/>
      <c r="Q1350" s="6"/>
      <c r="R1350" s="6"/>
    </row>
    <row r="1351">
      <c r="A1351" s="5"/>
      <c r="B1351" s="6"/>
      <c r="C1351" s="5"/>
      <c r="D1351" s="5"/>
      <c r="E1351" s="9"/>
      <c r="F1351" s="5"/>
      <c r="G1351" s="5"/>
      <c r="H1351" s="10"/>
      <c r="I1351" s="6"/>
      <c r="J1351" s="6"/>
      <c r="K1351" s="6"/>
      <c r="L1351" s="6"/>
      <c r="M1351" s="6"/>
      <c r="N1351" s="6"/>
      <c r="O1351" s="6"/>
      <c r="P1351" s="10"/>
      <c r="Q1351" s="6"/>
      <c r="R1351" s="6"/>
    </row>
    <row r="1352">
      <c r="A1352" s="5"/>
      <c r="B1352" s="6"/>
      <c r="C1352" s="5"/>
      <c r="D1352" s="5"/>
      <c r="E1352" s="9"/>
      <c r="F1352" s="5"/>
      <c r="G1352" s="5"/>
      <c r="H1352" s="10"/>
      <c r="I1352" s="6"/>
      <c r="J1352" s="6"/>
      <c r="K1352" s="6"/>
      <c r="L1352" s="6"/>
      <c r="M1352" s="6"/>
      <c r="N1352" s="6"/>
      <c r="O1352" s="6"/>
      <c r="P1352" s="10"/>
      <c r="Q1352" s="6"/>
      <c r="R1352" s="6"/>
    </row>
    <row r="1353">
      <c r="A1353" s="5"/>
      <c r="B1353" s="6"/>
      <c r="C1353" s="5"/>
      <c r="D1353" s="5"/>
      <c r="E1353" s="9"/>
      <c r="F1353" s="5"/>
      <c r="G1353" s="5"/>
      <c r="H1353" s="10"/>
      <c r="I1353" s="6"/>
      <c r="J1353" s="6"/>
      <c r="K1353" s="6"/>
      <c r="L1353" s="6"/>
      <c r="M1353" s="6"/>
      <c r="N1353" s="6"/>
      <c r="O1353" s="6"/>
      <c r="P1353" s="10"/>
      <c r="Q1353" s="6"/>
      <c r="R1353" s="6"/>
    </row>
    <row r="1354">
      <c r="A1354" s="5"/>
      <c r="B1354" s="6"/>
      <c r="C1354" s="5"/>
      <c r="D1354" s="5"/>
      <c r="E1354" s="9"/>
      <c r="F1354" s="5"/>
      <c r="G1354" s="5"/>
      <c r="H1354" s="10"/>
      <c r="I1354" s="6"/>
      <c r="J1354" s="6"/>
      <c r="K1354" s="6"/>
      <c r="L1354" s="6"/>
      <c r="M1354" s="6"/>
      <c r="N1354" s="6"/>
      <c r="O1354" s="6"/>
      <c r="P1354" s="10"/>
      <c r="Q1354" s="6"/>
      <c r="R1354" s="6"/>
    </row>
    <row r="1355">
      <c r="A1355" s="5"/>
      <c r="B1355" s="6"/>
      <c r="C1355" s="5"/>
      <c r="D1355" s="5"/>
      <c r="E1355" s="9"/>
      <c r="F1355" s="5"/>
      <c r="G1355" s="5"/>
      <c r="H1355" s="10"/>
      <c r="I1355" s="6"/>
      <c r="J1355" s="6"/>
      <c r="K1355" s="6"/>
      <c r="L1355" s="6"/>
      <c r="M1355" s="6"/>
      <c r="N1355" s="6"/>
      <c r="O1355" s="6"/>
      <c r="P1355" s="10"/>
      <c r="Q1355" s="6"/>
      <c r="R1355" s="6"/>
    </row>
    <row r="1356">
      <c r="A1356" s="5"/>
      <c r="B1356" s="6"/>
      <c r="C1356" s="5"/>
      <c r="D1356" s="5"/>
      <c r="E1356" s="9"/>
      <c r="F1356" s="5"/>
      <c r="G1356" s="5"/>
      <c r="H1356" s="10"/>
      <c r="I1356" s="6"/>
      <c r="J1356" s="6"/>
      <c r="K1356" s="6"/>
      <c r="L1356" s="6"/>
      <c r="M1356" s="6"/>
      <c r="N1356" s="6"/>
      <c r="O1356" s="6"/>
      <c r="P1356" s="10"/>
      <c r="Q1356" s="6"/>
      <c r="R1356" s="6"/>
    </row>
    <row r="1357">
      <c r="A1357" s="5"/>
      <c r="B1357" s="6"/>
      <c r="C1357" s="5"/>
      <c r="D1357" s="5"/>
      <c r="E1357" s="9"/>
      <c r="F1357" s="5"/>
      <c r="G1357" s="5"/>
      <c r="H1357" s="10"/>
      <c r="I1357" s="6"/>
      <c r="J1357" s="6"/>
      <c r="K1357" s="6"/>
      <c r="L1357" s="6"/>
      <c r="M1357" s="6"/>
      <c r="N1357" s="6"/>
      <c r="O1357" s="6"/>
      <c r="P1357" s="10"/>
      <c r="Q1357" s="6"/>
      <c r="R1357" s="6"/>
    </row>
    <row r="1358">
      <c r="A1358" s="5"/>
      <c r="B1358" s="6"/>
      <c r="C1358" s="5"/>
      <c r="D1358" s="5"/>
      <c r="E1358" s="9"/>
      <c r="F1358" s="5"/>
      <c r="G1358" s="5"/>
      <c r="H1358" s="10"/>
      <c r="I1358" s="6"/>
      <c r="J1358" s="6"/>
      <c r="K1358" s="6"/>
      <c r="L1358" s="6"/>
      <c r="M1358" s="6"/>
      <c r="N1358" s="6"/>
      <c r="O1358" s="6"/>
      <c r="P1358" s="10"/>
      <c r="Q1358" s="6"/>
      <c r="R1358" s="6"/>
    </row>
    <row r="1359">
      <c r="A1359" s="5"/>
      <c r="B1359" s="6"/>
      <c r="C1359" s="5"/>
      <c r="D1359" s="5"/>
      <c r="E1359" s="9"/>
      <c r="F1359" s="5"/>
      <c r="G1359" s="5"/>
      <c r="H1359" s="10"/>
      <c r="I1359" s="6"/>
      <c r="J1359" s="6"/>
      <c r="K1359" s="6"/>
      <c r="L1359" s="6"/>
      <c r="M1359" s="6"/>
      <c r="N1359" s="6"/>
      <c r="O1359" s="6"/>
      <c r="P1359" s="10"/>
      <c r="Q1359" s="6"/>
      <c r="R1359" s="6"/>
    </row>
    <row r="1360">
      <c r="A1360" s="5"/>
      <c r="B1360" s="6"/>
      <c r="C1360" s="5"/>
      <c r="D1360" s="5"/>
      <c r="E1360" s="9"/>
      <c r="F1360" s="5"/>
      <c r="G1360" s="5"/>
      <c r="H1360" s="10"/>
      <c r="I1360" s="6"/>
      <c r="J1360" s="6"/>
      <c r="K1360" s="6"/>
      <c r="L1360" s="6"/>
      <c r="M1360" s="6"/>
      <c r="N1360" s="6"/>
      <c r="O1360" s="6"/>
      <c r="P1360" s="10"/>
      <c r="Q1360" s="6"/>
      <c r="R1360" s="6"/>
    </row>
    <row r="1361">
      <c r="A1361" s="5"/>
      <c r="B1361" s="6"/>
      <c r="C1361" s="5"/>
      <c r="D1361" s="5"/>
      <c r="E1361" s="9"/>
      <c r="F1361" s="5"/>
      <c r="G1361" s="5"/>
      <c r="H1361" s="10"/>
      <c r="I1361" s="6"/>
      <c r="J1361" s="6"/>
      <c r="K1361" s="6"/>
      <c r="L1361" s="6"/>
      <c r="M1361" s="6"/>
      <c r="N1361" s="6"/>
      <c r="O1361" s="6"/>
      <c r="P1361" s="10"/>
      <c r="Q1361" s="6"/>
      <c r="R1361" s="6"/>
    </row>
    <row r="1362">
      <c r="A1362" s="5"/>
      <c r="B1362" s="6"/>
      <c r="C1362" s="5"/>
      <c r="D1362" s="5"/>
      <c r="E1362" s="9"/>
      <c r="F1362" s="5"/>
      <c r="G1362" s="5"/>
      <c r="H1362" s="10"/>
      <c r="I1362" s="6"/>
      <c r="J1362" s="6"/>
      <c r="K1362" s="6"/>
      <c r="L1362" s="6"/>
      <c r="M1362" s="6"/>
      <c r="N1362" s="6"/>
      <c r="O1362" s="6"/>
      <c r="P1362" s="10"/>
      <c r="Q1362" s="6"/>
      <c r="R1362" s="6"/>
    </row>
    <row r="1363">
      <c r="A1363" s="5"/>
      <c r="B1363" s="6"/>
      <c r="C1363" s="5"/>
      <c r="D1363" s="5"/>
      <c r="E1363" s="9"/>
      <c r="F1363" s="5"/>
      <c r="G1363" s="5"/>
      <c r="H1363" s="10"/>
      <c r="I1363" s="6"/>
      <c r="J1363" s="6"/>
      <c r="K1363" s="6"/>
      <c r="L1363" s="6"/>
      <c r="M1363" s="6"/>
      <c r="N1363" s="6"/>
      <c r="O1363" s="6"/>
      <c r="P1363" s="10"/>
      <c r="Q1363" s="6"/>
      <c r="R1363" s="6"/>
    </row>
    <row r="1364">
      <c r="A1364" s="5"/>
      <c r="B1364" s="6"/>
      <c r="C1364" s="5"/>
      <c r="D1364" s="5"/>
      <c r="E1364" s="9"/>
      <c r="F1364" s="5"/>
      <c r="G1364" s="5"/>
      <c r="H1364" s="10"/>
      <c r="I1364" s="6"/>
      <c r="J1364" s="6"/>
      <c r="K1364" s="6"/>
      <c r="L1364" s="6"/>
      <c r="M1364" s="6"/>
      <c r="N1364" s="6"/>
      <c r="O1364" s="6"/>
      <c r="P1364" s="10"/>
      <c r="Q1364" s="6"/>
      <c r="R1364" s="6"/>
    </row>
    <row r="1365">
      <c r="A1365" s="5"/>
      <c r="B1365" s="6"/>
      <c r="C1365" s="5"/>
      <c r="D1365" s="5"/>
      <c r="E1365" s="9"/>
      <c r="F1365" s="5"/>
      <c r="G1365" s="5"/>
      <c r="H1365" s="10"/>
      <c r="I1365" s="6"/>
      <c r="J1365" s="6"/>
      <c r="K1365" s="6"/>
      <c r="L1365" s="6"/>
      <c r="M1365" s="6"/>
      <c r="N1365" s="6"/>
      <c r="O1365" s="6"/>
      <c r="P1365" s="10"/>
      <c r="Q1365" s="6"/>
      <c r="R1365" s="6"/>
    </row>
    <row r="1366">
      <c r="A1366" s="5"/>
      <c r="B1366" s="6"/>
      <c r="C1366" s="5"/>
      <c r="D1366" s="5"/>
      <c r="E1366" s="9"/>
      <c r="F1366" s="5"/>
      <c r="G1366" s="5"/>
      <c r="H1366" s="10"/>
      <c r="I1366" s="6"/>
      <c r="J1366" s="6"/>
      <c r="K1366" s="6"/>
      <c r="L1366" s="6"/>
      <c r="M1366" s="6"/>
      <c r="N1366" s="6"/>
      <c r="O1366" s="6"/>
      <c r="P1366" s="10"/>
      <c r="Q1366" s="6"/>
      <c r="R1366" s="6"/>
    </row>
    <row r="1367">
      <c r="A1367" s="5"/>
      <c r="B1367" s="6"/>
      <c r="C1367" s="5"/>
      <c r="D1367" s="5"/>
      <c r="E1367" s="9"/>
      <c r="F1367" s="5"/>
      <c r="G1367" s="5"/>
      <c r="H1367" s="10"/>
      <c r="I1367" s="6"/>
      <c r="J1367" s="6"/>
      <c r="K1367" s="6"/>
      <c r="L1367" s="6"/>
      <c r="M1367" s="6"/>
      <c r="N1367" s="6"/>
      <c r="O1367" s="6"/>
      <c r="P1367" s="10"/>
      <c r="Q1367" s="6"/>
      <c r="R1367" s="6"/>
    </row>
    <row r="1368">
      <c r="A1368" s="5"/>
      <c r="B1368" s="6"/>
      <c r="C1368" s="5"/>
      <c r="D1368" s="5"/>
      <c r="E1368" s="9"/>
      <c r="F1368" s="5"/>
      <c r="G1368" s="5"/>
      <c r="H1368" s="10"/>
      <c r="I1368" s="6"/>
      <c r="J1368" s="6"/>
      <c r="K1368" s="6"/>
      <c r="L1368" s="6"/>
      <c r="M1368" s="6"/>
      <c r="N1368" s="6"/>
      <c r="O1368" s="6"/>
      <c r="P1368" s="10"/>
      <c r="Q1368" s="6"/>
      <c r="R1368" s="6"/>
    </row>
    <row r="1369">
      <c r="A1369" s="5"/>
      <c r="B1369" s="6"/>
      <c r="C1369" s="5"/>
      <c r="D1369" s="5"/>
      <c r="E1369" s="9"/>
      <c r="F1369" s="5"/>
      <c r="G1369" s="5"/>
      <c r="H1369" s="10"/>
      <c r="I1369" s="6"/>
      <c r="J1369" s="6"/>
      <c r="K1369" s="6"/>
      <c r="L1369" s="6"/>
      <c r="M1369" s="6"/>
      <c r="N1369" s="6"/>
      <c r="O1369" s="6"/>
      <c r="P1369" s="10"/>
      <c r="Q1369" s="6"/>
      <c r="R1369" s="6"/>
    </row>
    <row r="1370">
      <c r="A1370" s="5"/>
      <c r="B1370" s="6"/>
      <c r="C1370" s="5"/>
      <c r="D1370" s="5"/>
      <c r="E1370" s="9"/>
      <c r="F1370" s="5"/>
      <c r="G1370" s="5"/>
      <c r="H1370" s="10"/>
      <c r="I1370" s="6"/>
      <c r="J1370" s="6"/>
      <c r="K1370" s="6"/>
      <c r="L1370" s="6"/>
      <c r="M1370" s="6"/>
      <c r="N1370" s="6"/>
      <c r="O1370" s="6"/>
      <c r="P1370" s="10"/>
      <c r="Q1370" s="6"/>
      <c r="R1370" s="6"/>
    </row>
    <row r="1371">
      <c r="A1371" s="5"/>
      <c r="B1371" s="6"/>
      <c r="C1371" s="5"/>
      <c r="D1371" s="5"/>
      <c r="E1371" s="9"/>
      <c r="F1371" s="5"/>
      <c r="G1371" s="5"/>
      <c r="H1371" s="10"/>
      <c r="I1371" s="6"/>
      <c r="J1371" s="6"/>
      <c r="K1371" s="6"/>
      <c r="L1371" s="6"/>
      <c r="M1371" s="6"/>
      <c r="N1371" s="6"/>
      <c r="O1371" s="6"/>
      <c r="P1371" s="10"/>
      <c r="Q1371" s="6"/>
      <c r="R1371" s="6"/>
    </row>
    <row r="1372">
      <c r="A1372" s="5"/>
      <c r="B1372" s="6"/>
      <c r="C1372" s="5"/>
      <c r="D1372" s="5"/>
      <c r="E1372" s="9"/>
      <c r="F1372" s="5"/>
      <c r="G1372" s="5"/>
      <c r="H1372" s="10"/>
      <c r="I1372" s="6"/>
      <c r="J1372" s="6"/>
      <c r="K1372" s="6"/>
      <c r="L1372" s="6"/>
      <c r="M1372" s="6"/>
      <c r="N1372" s="6"/>
      <c r="O1372" s="6"/>
      <c r="P1372" s="10"/>
      <c r="Q1372" s="6"/>
      <c r="R1372" s="6"/>
    </row>
    <row r="1373">
      <c r="A1373" s="5"/>
      <c r="B1373" s="6"/>
      <c r="C1373" s="5"/>
      <c r="D1373" s="5"/>
      <c r="E1373" s="9"/>
      <c r="F1373" s="5"/>
      <c r="G1373" s="5"/>
      <c r="H1373" s="10"/>
      <c r="I1373" s="6"/>
      <c r="J1373" s="6"/>
      <c r="K1373" s="6"/>
      <c r="L1373" s="6"/>
      <c r="M1373" s="6"/>
      <c r="N1373" s="6"/>
      <c r="O1373" s="6"/>
      <c r="P1373" s="10"/>
      <c r="Q1373" s="6"/>
      <c r="R1373" s="6"/>
    </row>
    <row r="1374">
      <c r="A1374" s="5"/>
      <c r="B1374" s="6"/>
      <c r="C1374" s="5"/>
      <c r="D1374" s="5"/>
      <c r="E1374" s="9"/>
      <c r="F1374" s="5"/>
      <c r="G1374" s="5"/>
      <c r="H1374" s="10"/>
      <c r="I1374" s="6"/>
      <c r="J1374" s="6"/>
      <c r="K1374" s="6"/>
      <c r="L1374" s="6"/>
      <c r="M1374" s="6"/>
      <c r="N1374" s="6"/>
      <c r="O1374" s="6"/>
      <c r="P1374" s="10"/>
      <c r="Q1374" s="6"/>
      <c r="R1374" s="6"/>
    </row>
    <row r="1375">
      <c r="A1375" s="5"/>
      <c r="B1375" s="6"/>
      <c r="C1375" s="5"/>
      <c r="D1375" s="5"/>
      <c r="E1375" s="9"/>
      <c r="F1375" s="5"/>
      <c r="G1375" s="5"/>
      <c r="H1375" s="10"/>
      <c r="I1375" s="6"/>
      <c r="J1375" s="6"/>
      <c r="K1375" s="6"/>
      <c r="L1375" s="6"/>
      <c r="M1375" s="6"/>
      <c r="N1375" s="6"/>
      <c r="O1375" s="6"/>
      <c r="P1375" s="10"/>
      <c r="Q1375" s="6"/>
      <c r="R1375" s="6"/>
    </row>
    <row r="1376">
      <c r="A1376" s="5"/>
      <c r="B1376" s="6"/>
      <c r="C1376" s="5"/>
      <c r="D1376" s="5"/>
      <c r="E1376" s="9"/>
      <c r="F1376" s="5"/>
      <c r="G1376" s="5"/>
      <c r="H1376" s="10"/>
      <c r="I1376" s="6"/>
      <c r="J1376" s="6"/>
      <c r="K1376" s="6"/>
      <c r="L1376" s="6"/>
      <c r="M1376" s="6"/>
      <c r="N1376" s="6"/>
      <c r="O1376" s="6"/>
      <c r="P1376" s="10"/>
      <c r="Q1376" s="6"/>
      <c r="R1376" s="6"/>
    </row>
    <row r="1377">
      <c r="A1377" s="5"/>
      <c r="B1377" s="6"/>
      <c r="C1377" s="5"/>
      <c r="D1377" s="5"/>
      <c r="E1377" s="9"/>
      <c r="F1377" s="5"/>
      <c r="G1377" s="5"/>
      <c r="H1377" s="10"/>
      <c r="I1377" s="6"/>
      <c r="J1377" s="6"/>
      <c r="K1377" s="6"/>
      <c r="L1377" s="6"/>
      <c r="M1377" s="6"/>
      <c r="N1377" s="6"/>
      <c r="O1377" s="6"/>
      <c r="P1377" s="10"/>
      <c r="Q1377" s="6"/>
      <c r="R1377" s="6"/>
    </row>
    <row r="1378">
      <c r="A1378" s="5"/>
      <c r="B1378" s="6"/>
      <c r="C1378" s="5"/>
      <c r="D1378" s="5"/>
      <c r="E1378" s="9"/>
      <c r="F1378" s="5"/>
      <c r="G1378" s="5"/>
      <c r="H1378" s="10"/>
      <c r="I1378" s="6"/>
      <c r="J1378" s="6"/>
      <c r="K1378" s="6"/>
      <c r="L1378" s="6"/>
      <c r="M1378" s="6"/>
      <c r="N1378" s="6"/>
      <c r="O1378" s="6"/>
      <c r="P1378" s="10"/>
      <c r="Q1378" s="6"/>
      <c r="R1378" s="6"/>
    </row>
    <row r="1379">
      <c r="A1379" s="5"/>
      <c r="B1379" s="6"/>
      <c r="C1379" s="5"/>
      <c r="D1379" s="5"/>
      <c r="E1379" s="9"/>
      <c r="F1379" s="5"/>
      <c r="G1379" s="5"/>
      <c r="H1379" s="10"/>
      <c r="I1379" s="6"/>
      <c r="J1379" s="6"/>
      <c r="K1379" s="6"/>
      <c r="L1379" s="6"/>
      <c r="M1379" s="6"/>
      <c r="N1379" s="6"/>
      <c r="O1379" s="6"/>
      <c r="P1379" s="10"/>
      <c r="Q1379" s="6"/>
      <c r="R1379" s="6"/>
    </row>
    <row r="1380">
      <c r="A1380" s="5"/>
      <c r="B1380" s="6"/>
      <c r="C1380" s="5"/>
      <c r="D1380" s="5"/>
      <c r="E1380" s="9"/>
      <c r="F1380" s="5"/>
      <c r="G1380" s="5"/>
      <c r="H1380" s="10"/>
      <c r="I1380" s="6"/>
      <c r="J1380" s="6"/>
      <c r="K1380" s="6"/>
      <c r="L1380" s="6"/>
      <c r="M1380" s="6"/>
      <c r="N1380" s="6"/>
      <c r="O1380" s="6"/>
      <c r="P1380" s="10"/>
      <c r="Q1380" s="6"/>
      <c r="R1380" s="6"/>
    </row>
    <row r="1381">
      <c r="A1381" s="5"/>
      <c r="B1381" s="6"/>
      <c r="C1381" s="5"/>
      <c r="D1381" s="5"/>
      <c r="E1381" s="9"/>
      <c r="F1381" s="5"/>
      <c r="G1381" s="5"/>
      <c r="H1381" s="10"/>
      <c r="I1381" s="6"/>
      <c r="J1381" s="6"/>
      <c r="K1381" s="6"/>
      <c r="L1381" s="6"/>
      <c r="M1381" s="6"/>
      <c r="N1381" s="6"/>
      <c r="O1381" s="6"/>
      <c r="P1381" s="10"/>
      <c r="Q1381" s="6"/>
      <c r="R1381" s="6"/>
    </row>
    <row r="1382">
      <c r="A1382" s="5"/>
      <c r="B1382" s="6"/>
      <c r="C1382" s="5"/>
      <c r="D1382" s="5"/>
      <c r="E1382" s="9"/>
      <c r="F1382" s="5"/>
      <c r="G1382" s="5"/>
      <c r="H1382" s="10"/>
      <c r="I1382" s="6"/>
      <c r="J1382" s="6"/>
      <c r="K1382" s="6"/>
      <c r="L1382" s="6"/>
      <c r="M1382" s="6"/>
      <c r="N1382" s="6"/>
      <c r="O1382" s="6"/>
      <c r="P1382" s="10"/>
      <c r="Q1382" s="6"/>
      <c r="R1382" s="6"/>
    </row>
    <row r="1383">
      <c r="A1383" s="5"/>
      <c r="B1383" s="6"/>
      <c r="C1383" s="5"/>
      <c r="D1383" s="5"/>
      <c r="E1383" s="9"/>
      <c r="F1383" s="5"/>
      <c r="G1383" s="5"/>
      <c r="H1383" s="10"/>
      <c r="I1383" s="6"/>
      <c r="J1383" s="6"/>
      <c r="K1383" s="6"/>
      <c r="L1383" s="6"/>
      <c r="M1383" s="6"/>
      <c r="N1383" s="6"/>
      <c r="O1383" s="6"/>
      <c r="P1383" s="10"/>
      <c r="Q1383" s="6"/>
      <c r="R1383" s="6"/>
    </row>
    <row r="1384">
      <c r="A1384" s="5"/>
      <c r="B1384" s="6"/>
      <c r="C1384" s="5"/>
      <c r="D1384" s="5"/>
      <c r="E1384" s="9"/>
      <c r="F1384" s="5"/>
      <c r="G1384" s="5"/>
      <c r="H1384" s="10"/>
      <c r="I1384" s="6"/>
      <c r="J1384" s="6"/>
      <c r="K1384" s="6"/>
      <c r="L1384" s="6"/>
      <c r="M1384" s="6"/>
      <c r="N1384" s="6"/>
      <c r="O1384" s="6"/>
      <c r="P1384" s="10"/>
      <c r="Q1384" s="6"/>
      <c r="R1384" s="6"/>
    </row>
    <row r="1385">
      <c r="A1385" s="5"/>
      <c r="B1385" s="6"/>
      <c r="C1385" s="5"/>
      <c r="D1385" s="5"/>
      <c r="E1385" s="9"/>
      <c r="F1385" s="5"/>
      <c r="G1385" s="5"/>
      <c r="H1385" s="10"/>
      <c r="I1385" s="6"/>
      <c r="J1385" s="6"/>
      <c r="K1385" s="6"/>
      <c r="L1385" s="6"/>
      <c r="M1385" s="6"/>
      <c r="N1385" s="6"/>
      <c r="O1385" s="6"/>
      <c r="P1385" s="10"/>
      <c r="Q1385" s="6"/>
      <c r="R1385" s="6"/>
    </row>
    <row r="1386">
      <c r="A1386" s="5"/>
      <c r="B1386" s="6"/>
      <c r="C1386" s="5"/>
      <c r="D1386" s="5"/>
      <c r="E1386" s="9"/>
      <c r="F1386" s="5"/>
      <c r="G1386" s="5"/>
      <c r="H1386" s="10"/>
      <c r="I1386" s="6"/>
      <c r="J1386" s="6"/>
      <c r="K1386" s="6"/>
      <c r="L1386" s="6"/>
      <c r="M1386" s="6"/>
      <c r="N1386" s="6"/>
      <c r="O1386" s="6"/>
      <c r="P1386" s="10"/>
      <c r="Q1386" s="6"/>
      <c r="R1386" s="6"/>
    </row>
    <row r="1387">
      <c r="A1387" s="5"/>
      <c r="B1387" s="6"/>
      <c r="C1387" s="5"/>
      <c r="D1387" s="5"/>
      <c r="E1387" s="9"/>
      <c r="F1387" s="5"/>
      <c r="G1387" s="5"/>
      <c r="H1387" s="10"/>
      <c r="I1387" s="6"/>
      <c r="J1387" s="6"/>
      <c r="K1387" s="6"/>
      <c r="L1387" s="6"/>
      <c r="M1387" s="6"/>
      <c r="N1387" s="6"/>
      <c r="O1387" s="6"/>
      <c r="P1387" s="10"/>
      <c r="Q1387" s="6"/>
      <c r="R1387" s="6"/>
    </row>
    <row r="1388">
      <c r="A1388" s="5"/>
      <c r="B1388" s="6"/>
      <c r="C1388" s="5"/>
      <c r="D1388" s="5"/>
      <c r="E1388" s="9"/>
      <c r="F1388" s="5"/>
      <c r="G1388" s="5"/>
      <c r="H1388" s="10"/>
      <c r="I1388" s="6"/>
      <c r="J1388" s="6"/>
      <c r="K1388" s="6"/>
      <c r="L1388" s="6"/>
      <c r="M1388" s="6"/>
      <c r="N1388" s="6"/>
      <c r="O1388" s="6"/>
      <c r="P1388" s="10"/>
      <c r="Q1388" s="6"/>
      <c r="R1388" s="6"/>
    </row>
    <row r="1389">
      <c r="A1389" s="5"/>
      <c r="B1389" s="6"/>
      <c r="C1389" s="5"/>
      <c r="D1389" s="5"/>
      <c r="E1389" s="9"/>
      <c r="F1389" s="5"/>
      <c r="G1389" s="5"/>
      <c r="H1389" s="10"/>
      <c r="I1389" s="6"/>
      <c r="J1389" s="6"/>
      <c r="K1389" s="6"/>
      <c r="L1389" s="6"/>
      <c r="M1389" s="6"/>
      <c r="N1389" s="6"/>
      <c r="O1389" s="6"/>
      <c r="P1389" s="10"/>
      <c r="Q1389" s="6"/>
      <c r="R1389" s="6"/>
    </row>
    <row r="1390">
      <c r="A1390" s="5"/>
      <c r="B1390" s="6"/>
      <c r="C1390" s="5"/>
      <c r="D1390" s="5"/>
      <c r="E1390" s="9"/>
      <c r="F1390" s="5"/>
      <c r="G1390" s="5"/>
      <c r="H1390" s="10"/>
      <c r="I1390" s="6"/>
      <c r="J1390" s="6"/>
      <c r="K1390" s="6"/>
      <c r="L1390" s="6"/>
      <c r="M1390" s="6"/>
      <c r="N1390" s="6"/>
      <c r="O1390" s="6"/>
      <c r="P1390" s="10"/>
      <c r="Q1390" s="6"/>
      <c r="R1390" s="6"/>
    </row>
    <row r="1391">
      <c r="A1391" s="5"/>
      <c r="B1391" s="6"/>
      <c r="C1391" s="5"/>
      <c r="D1391" s="5"/>
      <c r="E1391" s="9"/>
      <c r="F1391" s="5"/>
      <c r="G1391" s="5"/>
      <c r="H1391" s="10"/>
      <c r="I1391" s="6"/>
      <c r="J1391" s="6"/>
      <c r="K1391" s="6"/>
      <c r="L1391" s="6"/>
      <c r="M1391" s="6"/>
      <c r="N1391" s="6"/>
      <c r="O1391" s="6"/>
      <c r="P1391" s="10"/>
      <c r="Q1391" s="6"/>
      <c r="R1391" s="6"/>
    </row>
    <row r="1392">
      <c r="A1392" s="5"/>
      <c r="B1392" s="6"/>
      <c r="C1392" s="5"/>
      <c r="D1392" s="5"/>
      <c r="E1392" s="9"/>
      <c r="F1392" s="5"/>
      <c r="G1392" s="5"/>
      <c r="H1392" s="10"/>
      <c r="I1392" s="6"/>
      <c r="J1392" s="6"/>
      <c r="K1392" s="6"/>
      <c r="L1392" s="6"/>
      <c r="M1392" s="6"/>
      <c r="N1392" s="6"/>
      <c r="O1392" s="6"/>
      <c r="P1392" s="10"/>
      <c r="Q1392" s="6"/>
      <c r="R1392" s="6"/>
    </row>
    <row r="1393">
      <c r="A1393" s="5"/>
      <c r="B1393" s="6"/>
      <c r="C1393" s="5"/>
      <c r="D1393" s="5"/>
      <c r="E1393" s="9"/>
      <c r="F1393" s="5"/>
      <c r="G1393" s="5"/>
      <c r="H1393" s="10"/>
      <c r="I1393" s="6"/>
      <c r="J1393" s="6"/>
      <c r="K1393" s="6"/>
      <c r="L1393" s="6"/>
      <c r="M1393" s="6"/>
      <c r="N1393" s="6"/>
      <c r="O1393" s="6"/>
      <c r="P1393" s="10"/>
      <c r="Q1393" s="6"/>
      <c r="R1393" s="6"/>
    </row>
    <row r="1394">
      <c r="A1394" s="5"/>
      <c r="B1394" s="6"/>
      <c r="C1394" s="5"/>
      <c r="D1394" s="5"/>
      <c r="E1394" s="9"/>
      <c r="F1394" s="5"/>
      <c r="G1394" s="5"/>
      <c r="H1394" s="10"/>
      <c r="I1394" s="6"/>
      <c r="J1394" s="6"/>
      <c r="K1394" s="6"/>
      <c r="L1394" s="6"/>
      <c r="M1394" s="6"/>
      <c r="N1394" s="6"/>
      <c r="O1394" s="6"/>
      <c r="P1394" s="10"/>
      <c r="Q1394" s="6"/>
      <c r="R1394" s="6"/>
    </row>
    <row r="1395">
      <c r="A1395" s="5"/>
      <c r="B1395" s="6"/>
      <c r="C1395" s="5"/>
      <c r="D1395" s="5"/>
      <c r="E1395" s="9"/>
      <c r="F1395" s="5"/>
      <c r="G1395" s="5"/>
      <c r="H1395" s="10"/>
      <c r="I1395" s="6"/>
      <c r="J1395" s="6"/>
      <c r="K1395" s="6"/>
      <c r="L1395" s="6"/>
      <c r="M1395" s="6"/>
      <c r="N1395" s="6"/>
      <c r="O1395" s="6"/>
      <c r="P1395" s="10"/>
      <c r="Q1395" s="6"/>
      <c r="R1395" s="6"/>
    </row>
    <row r="1396">
      <c r="A1396" s="5"/>
      <c r="B1396" s="6"/>
      <c r="C1396" s="5"/>
      <c r="D1396" s="5"/>
      <c r="E1396" s="9"/>
      <c r="F1396" s="5"/>
      <c r="G1396" s="5"/>
      <c r="H1396" s="10"/>
      <c r="I1396" s="6"/>
      <c r="J1396" s="6"/>
      <c r="K1396" s="6"/>
      <c r="L1396" s="6"/>
      <c r="M1396" s="6"/>
      <c r="N1396" s="6"/>
      <c r="O1396" s="6"/>
      <c r="P1396" s="10"/>
      <c r="Q1396" s="6"/>
      <c r="R1396" s="6"/>
    </row>
    <row r="1397">
      <c r="A1397" s="5"/>
      <c r="B1397" s="6"/>
      <c r="C1397" s="5"/>
      <c r="D1397" s="5"/>
      <c r="E1397" s="9"/>
      <c r="F1397" s="5"/>
      <c r="G1397" s="5"/>
      <c r="H1397" s="10"/>
      <c r="I1397" s="6"/>
      <c r="J1397" s="6"/>
      <c r="K1397" s="6"/>
      <c r="L1397" s="6"/>
      <c r="M1397" s="6"/>
      <c r="N1397" s="6"/>
      <c r="O1397" s="6"/>
      <c r="P1397" s="10"/>
      <c r="Q1397" s="6"/>
      <c r="R1397" s="6"/>
    </row>
    <row r="1398">
      <c r="A1398" s="5"/>
      <c r="B1398" s="6"/>
      <c r="C1398" s="5"/>
      <c r="D1398" s="5"/>
      <c r="E1398" s="9"/>
      <c r="F1398" s="5"/>
      <c r="G1398" s="5"/>
      <c r="H1398" s="10"/>
      <c r="I1398" s="6"/>
      <c r="J1398" s="6"/>
      <c r="K1398" s="6"/>
      <c r="L1398" s="6"/>
      <c r="M1398" s="6"/>
      <c r="N1398" s="6"/>
      <c r="O1398" s="6"/>
      <c r="P1398" s="10"/>
      <c r="Q1398" s="6"/>
      <c r="R1398" s="6"/>
    </row>
    <row r="1399">
      <c r="A1399" s="5"/>
      <c r="B1399" s="6"/>
      <c r="C1399" s="5"/>
      <c r="D1399" s="5"/>
      <c r="E1399" s="9"/>
      <c r="F1399" s="5"/>
      <c r="G1399" s="5"/>
      <c r="H1399" s="10"/>
      <c r="I1399" s="6"/>
      <c r="J1399" s="6"/>
      <c r="K1399" s="6"/>
      <c r="L1399" s="6"/>
      <c r="M1399" s="6"/>
      <c r="N1399" s="6"/>
      <c r="O1399" s="6"/>
      <c r="P1399" s="10"/>
      <c r="Q1399" s="6"/>
      <c r="R1399" s="6"/>
    </row>
    <row r="1400">
      <c r="A1400" s="5"/>
      <c r="B1400" s="6"/>
      <c r="C1400" s="5"/>
      <c r="D1400" s="5"/>
      <c r="E1400" s="9"/>
      <c r="F1400" s="5"/>
      <c r="G1400" s="5"/>
      <c r="H1400" s="10"/>
      <c r="I1400" s="6"/>
      <c r="J1400" s="6"/>
      <c r="K1400" s="6"/>
      <c r="L1400" s="6"/>
      <c r="M1400" s="6"/>
      <c r="N1400" s="6"/>
      <c r="O1400" s="6"/>
      <c r="P1400" s="10"/>
      <c r="Q1400" s="6"/>
      <c r="R1400" s="6"/>
    </row>
    <row r="1401">
      <c r="A1401" s="5"/>
      <c r="B1401" s="6"/>
      <c r="C1401" s="5"/>
      <c r="D1401" s="5"/>
      <c r="E1401" s="9"/>
      <c r="F1401" s="5"/>
      <c r="G1401" s="5"/>
      <c r="H1401" s="10"/>
      <c r="I1401" s="6"/>
      <c r="J1401" s="6"/>
      <c r="K1401" s="6"/>
      <c r="L1401" s="6"/>
      <c r="M1401" s="6"/>
      <c r="N1401" s="6"/>
      <c r="O1401" s="6"/>
      <c r="P1401" s="10"/>
      <c r="Q1401" s="6"/>
      <c r="R1401" s="6"/>
    </row>
    <row r="1402">
      <c r="A1402" s="5"/>
      <c r="B1402" s="6"/>
      <c r="C1402" s="5"/>
      <c r="D1402" s="5"/>
      <c r="E1402" s="9"/>
      <c r="F1402" s="5"/>
      <c r="G1402" s="5"/>
      <c r="H1402" s="10"/>
      <c r="I1402" s="6"/>
      <c r="J1402" s="6"/>
      <c r="K1402" s="6"/>
      <c r="L1402" s="6"/>
      <c r="M1402" s="6"/>
      <c r="N1402" s="6"/>
      <c r="O1402" s="6"/>
      <c r="P1402" s="10"/>
      <c r="Q1402" s="6"/>
      <c r="R1402" s="6"/>
    </row>
    <row r="1403">
      <c r="A1403" s="5"/>
      <c r="B1403" s="6"/>
      <c r="C1403" s="5"/>
      <c r="D1403" s="5"/>
      <c r="E1403" s="9"/>
      <c r="F1403" s="5"/>
      <c r="G1403" s="5"/>
      <c r="H1403" s="10"/>
      <c r="I1403" s="6"/>
      <c r="J1403" s="6"/>
      <c r="K1403" s="6"/>
      <c r="L1403" s="6"/>
      <c r="M1403" s="6"/>
      <c r="N1403" s="6"/>
      <c r="O1403" s="6"/>
      <c r="P1403" s="10"/>
      <c r="Q1403" s="6"/>
      <c r="R1403" s="6"/>
    </row>
    <row r="1404">
      <c r="A1404" s="5"/>
      <c r="B1404" s="6"/>
      <c r="C1404" s="5"/>
      <c r="D1404" s="5"/>
      <c r="E1404" s="9"/>
      <c r="F1404" s="5"/>
      <c r="G1404" s="5"/>
      <c r="H1404" s="10"/>
      <c r="I1404" s="6"/>
      <c r="J1404" s="6"/>
      <c r="K1404" s="6"/>
      <c r="L1404" s="6"/>
      <c r="M1404" s="6"/>
      <c r="N1404" s="6"/>
      <c r="O1404" s="6"/>
      <c r="P1404" s="10"/>
      <c r="Q1404" s="6"/>
      <c r="R1404" s="6"/>
    </row>
    <row r="1405">
      <c r="A1405" s="5"/>
      <c r="B1405" s="6"/>
      <c r="C1405" s="5"/>
      <c r="D1405" s="5"/>
      <c r="E1405" s="9"/>
      <c r="F1405" s="5"/>
      <c r="G1405" s="5"/>
      <c r="H1405" s="10"/>
      <c r="I1405" s="6"/>
      <c r="J1405" s="6"/>
      <c r="K1405" s="6"/>
      <c r="L1405" s="6"/>
      <c r="M1405" s="6"/>
      <c r="N1405" s="6"/>
      <c r="O1405" s="6"/>
      <c r="P1405" s="10"/>
      <c r="Q1405" s="6"/>
      <c r="R1405" s="6"/>
    </row>
    <row r="1406">
      <c r="A1406" s="5"/>
      <c r="B1406" s="6"/>
      <c r="C1406" s="5"/>
      <c r="D1406" s="5"/>
      <c r="E1406" s="9"/>
      <c r="F1406" s="5"/>
      <c r="G1406" s="5"/>
      <c r="H1406" s="10"/>
      <c r="I1406" s="6"/>
      <c r="J1406" s="6"/>
      <c r="K1406" s="6"/>
      <c r="L1406" s="6"/>
      <c r="M1406" s="6"/>
      <c r="N1406" s="6"/>
      <c r="O1406" s="6"/>
      <c r="P1406" s="10"/>
      <c r="Q1406" s="6"/>
      <c r="R1406" s="6"/>
    </row>
    <row r="1407">
      <c r="A1407" s="5"/>
      <c r="B1407" s="6"/>
      <c r="C1407" s="5"/>
      <c r="D1407" s="5"/>
      <c r="E1407" s="9"/>
      <c r="F1407" s="5"/>
      <c r="G1407" s="5"/>
      <c r="H1407" s="10"/>
      <c r="I1407" s="6"/>
      <c r="J1407" s="6"/>
      <c r="K1407" s="6"/>
      <c r="L1407" s="6"/>
      <c r="M1407" s="6"/>
      <c r="N1407" s="6"/>
      <c r="O1407" s="6"/>
      <c r="P1407" s="10"/>
      <c r="Q1407" s="6"/>
      <c r="R1407" s="6"/>
    </row>
    <row r="1408">
      <c r="A1408" s="5"/>
      <c r="B1408" s="6"/>
      <c r="C1408" s="5"/>
      <c r="D1408" s="5"/>
      <c r="E1408" s="9"/>
      <c r="F1408" s="5"/>
      <c r="G1408" s="5"/>
      <c r="H1408" s="10"/>
      <c r="I1408" s="6"/>
      <c r="J1408" s="6"/>
      <c r="K1408" s="6"/>
      <c r="L1408" s="6"/>
      <c r="M1408" s="6"/>
      <c r="N1408" s="6"/>
      <c r="O1408" s="6"/>
      <c r="P1408" s="10"/>
      <c r="Q1408" s="6"/>
      <c r="R1408" s="6"/>
    </row>
    <row r="1409">
      <c r="A1409" s="5"/>
      <c r="B1409" s="6"/>
      <c r="C1409" s="5"/>
      <c r="D1409" s="5"/>
      <c r="E1409" s="9"/>
      <c r="F1409" s="5"/>
      <c r="G1409" s="5"/>
      <c r="H1409" s="10"/>
      <c r="I1409" s="6"/>
      <c r="J1409" s="6"/>
      <c r="K1409" s="6"/>
      <c r="L1409" s="6"/>
      <c r="M1409" s="6"/>
      <c r="N1409" s="6"/>
      <c r="O1409" s="6"/>
      <c r="P1409" s="10"/>
      <c r="Q1409" s="6"/>
      <c r="R1409" s="6"/>
    </row>
    <row r="1410">
      <c r="A1410" s="5"/>
      <c r="B1410" s="6"/>
      <c r="C1410" s="5"/>
      <c r="D1410" s="5"/>
      <c r="E1410" s="9"/>
      <c r="F1410" s="5"/>
      <c r="G1410" s="5"/>
      <c r="H1410" s="10"/>
      <c r="I1410" s="6"/>
      <c r="J1410" s="6"/>
      <c r="K1410" s="6"/>
      <c r="L1410" s="6"/>
      <c r="M1410" s="6"/>
      <c r="N1410" s="6"/>
      <c r="O1410" s="6"/>
      <c r="P1410" s="10"/>
      <c r="Q1410" s="6"/>
      <c r="R1410" s="6"/>
    </row>
    <row r="1411">
      <c r="A1411" s="5"/>
      <c r="B1411" s="6"/>
      <c r="C1411" s="5"/>
      <c r="D1411" s="5"/>
      <c r="E1411" s="9"/>
      <c r="F1411" s="5"/>
      <c r="G1411" s="5"/>
      <c r="H1411" s="10"/>
      <c r="I1411" s="6"/>
      <c r="J1411" s="6"/>
      <c r="K1411" s="6"/>
      <c r="L1411" s="6"/>
      <c r="M1411" s="6"/>
      <c r="N1411" s="6"/>
      <c r="O1411" s="6"/>
      <c r="P1411" s="10"/>
      <c r="Q1411" s="6"/>
      <c r="R1411" s="6"/>
    </row>
    <row r="1412">
      <c r="A1412" s="5"/>
      <c r="B1412" s="6"/>
      <c r="C1412" s="5"/>
      <c r="D1412" s="5"/>
      <c r="E1412" s="9"/>
      <c r="F1412" s="5"/>
      <c r="G1412" s="5"/>
      <c r="H1412" s="10"/>
      <c r="I1412" s="6"/>
      <c r="J1412" s="6"/>
      <c r="K1412" s="6"/>
      <c r="L1412" s="6"/>
      <c r="M1412" s="6"/>
      <c r="N1412" s="6"/>
      <c r="O1412" s="6"/>
      <c r="P1412" s="10"/>
      <c r="Q1412" s="6"/>
      <c r="R1412" s="6"/>
    </row>
    <row r="1413">
      <c r="A1413" s="5"/>
      <c r="B1413" s="6"/>
      <c r="C1413" s="5"/>
      <c r="D1413" s="5"/>
      <c r="E1413" s="9"/>
      <c r="F1413" s="5"/>
      <c r="G1413" s="5"/>
      <c r="H1413" s="10"/>
      <c r="I1413" s="6"/>
      <c r="J1413" s="6"/>
      <c r="K1413" s="6"/>
      <c r="L1413" s="6"/>
      <c r="M1413" s="6"/>
      <c r="N1413" s="6"/>
      <c r="O1413" s="6"/>
      <c r="P1413" s="10"/>
      <c r="Q1413" s="6"/>
      <c r="R1413" s="6"/>
    </row>
    <row r="1414">
      <c r="A1414" s="5"/>
      <c r="B1414" s="6"/>
      <c r="C1414" s="5"/>
      <c r="D1414" s="5"/>
      <c r="E1414" s="9"/>
      <c r="F1414" s="5"/>
      <c r="G1414" s="5"/>
      <c r="H1414" s="10"/>
      <c r="I1414" s="6"/>
      <c r="J1414" s="6"/>
      <c r="K1414" s="6"/>
      <c r="L1414" s="6"/>
      <c r="M1414" s="6"/>
      <c r="N1414" s="6"/>
      <c r="O1414" s="6"/>
      <c r="P1414" s="10"/>
      <c r="Q1414" s="6"/>
      <c r="R1414" s="6"/>
    </row>
    <row r="1415">
      <c r="A1415" s="5"/>
      <c r="B1415" s="6"/>
      <c r="C1415" s="5"/>
      <c r="D1415" s="5"/>
      <c r="E1415" s="9"/>
      <c r="F1415" s="5"/>
      <c r="G1415" s="5"/>
      <c r="H1415" s="10"/>
      <c r="I1415" s="6"/>
      <c r="J1415" s="6"/>
      <c r="K1415" s="6"/>
      <c r="L1415" s="6"/>
      <c r="M1415" s="6"/>
      <c r="N1415" s="6"/>
      <c r="O1415" s="6"/>
      <c r="P1415" s="10"/>
      <c r="Q1415" s="6"/>
      <c r="R1415" s="6"/>
    </row>
    <row r="1416">
      <c r="A1416" s="5"/>
      <c r="B1416" s="6"/>
      <c r="C1416" s="5"/>
      <c r="D1416" s="5"/>
      <c r="E1416" s="9"/>
      <c r="F1416" s="5"/>
      <c r="G1416" s="5"/>
      <c r="H1416" s="10"/>
      <c r="I1416" s="6"/>
      <c r="J1416" s="6"/>
      <c r="K1416" s="6"/>
      <c r="L1416" s="6"/>
      <c r="M1416" s="6"/>
      <c r="N1416" s="6"/>
      <c r="O1416" s="6"/>
      <c r="P1416" s="10"/>
      <c r="Q1416" s="6"/>
      <c r="R1416" s="6"/>
    </row>
    <row r="1417">
      <c r="A1417" s="5"/>
      <c r="B1417" s="6"/>
      <c r="C1417" s="5"/>
      <c r="D1417" s="5"/>
      <c r="E1417" s="9"/>
      <c r="F1417" s="5"/>
      <c r="G1417" s="5"/>
      <c r="H1417" s="10"/>
      <c r="I1417" s="6"/>
      <c r="J1417" s="6"/>
      <c r="K1417" s="6"/>
      <c r="L1417" s="6"/>
      <c r="M1417" s="6"/>
      <c r="N1417" s="6"/>
      <c r="O1417" s="6"/>
      <c r="P1417" s="10"/>
      <c r="Q1417" s="6"/>
      <c r="R1417" s="6"/>
    </row>
    <row r="1418">
      <c r="A1418" s="5"/>
      <c r="B1418" s="6"/>
      <c r="C1418" s="5"/>
      <c r="D1418" s="5"/>
      <c r="E1418" s="9"/>
      <c r="F1418" s="5"/>
      <c r="G1418" s="5"/>
      <c r="H1418" s="10"/>
      <c r="I1418" s="6"/>
      <c r="J1418" s="6"/>
      <c r="K1418" s="6"/>
      <c r="L1418" s="6"/>
      <c r="M1418" s="6"/>
      <c r="N1418" s="6"/>
      <c r="O1418" s="6"/>
      <c r="P1418" s="10"/>
      <c r="Q1418" s="6"/>
      <c r="R1418" s="6"/>
    </row>
    <row r="1419">
      <c r="A1419" s="5"/>
      <c r="B1419" s="6"/>
      <c r="C1419" s="5"/>
      <c r="D1419" s="5"/>
      <c r="E1419" s="9"/>
      <c r="F1419" s="5"/>
      <c r="G1419" s="5"/>
      <c r="H1419" s="10"/>
      <c r="I1419" s="6"/>
      <c r="J1419" s="6"/>
      <c r="K1419" s="6"/>
      <c r="L1419" s="6"/>
      <c r="M1419" s="6"/>
      <c r="N1419" s="6"/>
      <c r="O1419" s="6"/>
      <c r="P1419" s="10"/>
      <c r="Q1419" s="6"/>
      <c r="R1419" s="6"/>
    </row>
    <row r="1420">
      <c r="A1420" s="5"/>
      <c r="B1420" s="6"/>
      <c r="C1420" s="5"/>
      <c r="D1420" s="5"/>
      <c r="E1420" s="9"/>
      <c r="F1420" s="5"/>
      <c r="G1420" s="5"/>
      <c r="H1420" s="10"/>
      <c r="I1420" s="6"/>
      <c r="J1420" s="6"/>
      <c r="K1420" s="6"/>
      <c r="L1420" s="6"/>
      <c r="M1420" s="6"/>
      <c r="N1420" s="6"/>
      <c r="O1420" s="6"/>
      <c r="P1420" s="10"/>
      <c r="Q1420" s="6"/>
      <c r="R1420" s="6"/>
    </row>
    <row r="1421">
      <c r="A1421" s="5"/>
      <c r="B1421" s="6"/>
      <c r="C1421" s="5"/>
      <c r="D1421" s="5"/>
      <c r="E1421" s="9"/>
      <c r="F1421" s="5"/>
      <c r="G1421" s="5"/>
      <c r="H1421" s="10"/>
      <c r="I1421" s="6"/>
      <c r="J1421" s="6"/>
      <c r="K1421" s="6"/>
      <c r="L1421" s="6"/>
      <c r="M1421" s="6"/>
      <c r="N1421" s="6"/>
      <c r="O1421" s="6"/>
      <c r="P1421" s="10"/>
      <c r="Q1421" s="6"/>
      <c r="R1421" s="6"/>
    </row>
    <row r="1422">
      <c r="A1422" s="5"/>
      <c r="B1422" s="6"/>
      <c r="C1422" s="5"/>
      <c r="D1422" s="5"/>
      <c r="E1422" s="9"/>
      <c r="F1422" s="5"/>
      <c r="G1422" s="5"/>
      <c r="H1422" s="10"/>
      <c r="I1422" s="6"/>
      <c r="J1422" s="6"/>
      <c r="K1422" s="6"/>
      <c r="L1422" s="6"/>
      <c r="M1422" s="6"/>
      <c r="N1422" s="6"/>
      <c r="O1422" s="6"/>
      <c r="P1422" s="10"/>
      <c r="Q1422" s="6"/>
      <c r="R1422" s="6"/>
    </row>
    <row r="1423">
      <c r="A1423" s="5"/>
      <c r="B1423" s="6"/>
      <c r="C1423" s="5"/>
      <c r="D1423" s="5"/>
      <c r="E1423" s="9"/>
      <c r="F1423" s="5"/>
      <c r="G1423" s="5"/>
      <c r="H1423" s="10"/>
      <c r="I1423" s="6"/>
      <c r="J1423" s="6"/>
      <c r="K1423" s="6"/>
      <c r="L1423" s="6"/>
      <c r="M1423" s="6"/>
      <c r="N1423" s="6"/>
      <c r="O1423" s="6"/>
      <c r="P1423" s="10"/>
      <c r="Q1423" s="6"/>
      <c r="R1423" s="6"/>
    </row>
    <row r="1424">
      <c r="A1424" s="5"/>
      <c r="B1424" s="6"/>
      <c r="C1424" s="5"/>
      <c r="D1424" s="5"/>
      <c r="E1424" s="9"/>
      <c r="F1424" s="5"/>
      <c r="G1424" s="5"/>
      <c r="H1424" s="10"/>
      <c r="I1424" s="6"/>
      <c r="J1424" s="6"/>
      <c r="K1424" s="6"/>
      <c r="L1424" s="6"/>
      <c r="M1424" s="6"/>
      <c r="N1424" s="6"/>
      <c r="O1424" s="6"/>
      <c r="P1424" s="10"/>
      <c r="Q1424" s="6"/>
      <c r="R1424" s="6"/>
    </row>
    <row r="1425">
      <c r="A1425" s="5"/>
      <c r="B1425" s="6"/>
      <c r="C1425" s="5"/>
      <c r="D1425" s="5"/>
      <c r="E1425" s="9"/>
      <c r="F1425" s="5"/>
      <c r="G1425" s="5"/>
      <c r="H1425" s="10"/>
      <c r="I1425" s="6"/>
      <c r="J1425" s="6"/>
      <c r="K1425" s="6"/>
      <c r="L1425" s="6"/>
      <c r="M1425" s="6"/>
      <c r="N1425" s="6"/>
      <c r="O1425" s="6"/>
      <c r="P1425" s="10"/>
      <c r="Q1425" s="6"/>
      <c r="R1425" s="6"/>
    </row>
    <row r="1426">
      <c r="A1426" s="5"/>
      <c r="B1426" s="6"/>
      <c r="C1426" s="5"/>
      <c r="D1426" s="5"/>
      <c r="E1426" s="9"/>
      <c r="F1426" s="5"/>
      <c r="G1426" s="5"/>
      <c r="H1426" s="10"/>
      <c r="I1426" s="6"/>
      <c r="J1426" s="6"/>
      <c r="K1426" s="6"/>
      <c r="L1426" s="6"/>
      <c r="M1426" s="6"/>
      <c r="N1426" s="6"/>
      <c r="O1426" s="6"/>
      <c r="P1426" s="10"/>
      <c r="Q1426" s="6"/>
      <c r="R1426" s="6"/>
    </row>
    <row r="1427">
      <c r="A1427" s="5"/>
      <c r="B1427" s="6"/>
      <c r="C1427" s="5"/>
      <c r="D1427" s="5"/>
      <c r="E1427" s="9"/>
      <c r="F1427" s="5"/>
      <c r="G1427" s="5"/>
      <c r="H1427" s="10"/>
      <c r="I1427" s="6"/>
      <c r="J1427" s="6"/>
      <c r="K1427" s="6"/>
      <c r="L1427" s="6"/>
      <c r="M1427" s="6"/>
      <c r="N1427" s="6"/>
      <c r="O1427" s="6"/>
      <c r="P1427" s="10"/>
      <c r="Q1427" s="6"/>
      <c r="R1427" s="6"/>
    </row>
    <row r="1428">
      <c r="A1428" s="5"/>
      <c r="B1428" s="6"/>
      <c r="C1428" s="5"/>
      <c r="D1428" s="5"/>
      <c r="E1428" s="9"/>
      <c r="F1428" s="5"/>
      <c r="G1428" s="5"/>
      <c r="H1428" s="10"/>
      <c r="I1428" s="6"/>
      <c r="J1428" s="6"/>
      <c r="K1428" s="6"/>
      <c r="L1428" s="6"/>
      <c r="M1428" s="6"/>
      <c r="N1428" s="6"/>
      <c r="O1428" s="6"/>
      <c r="P1428" s="10"/>
      <c r="Q1428" s="6"/>
      <c r="R1428" s="6"/>
    </row>
    <row r="1429">
      <c r="A1429" s="5"/>
      <c r="B1429" s="6"/>
      <c r="C1429" s="5"/>
      <c r="D1429" s="5"/>
      <c r="E1429" s="9"/>
      <c r="F1429" s="5"/>
      <c r="G1429" s="5"/>
      <c r="H1429" s="10"/>
      <c r="I1429" s="6"/>
      <c r="J1429" s="6"/>
      <c r="K1429" s="6"/>
      <c r="L1429" s="6"/>
      <c r="M1429" s="6"/>
      <c r="N1429" s="6"/>
      <c r="O1429" s="6"/>
      <c r="P1429" s="10"/>
      <c r="Q1429" s="6"/>
      <c r="R1429" s="6"/>
    </row>
    <row r="1430">
      <c r="A1430" s="5"/>
      <c r="B1430" s="6"/>
      <c r="C1430" s="5"/>
      <c r="D1430" s="5"/>
      <c r="E1430" s="9"/>
      <c r="F1430" s="5"/>
      <c r="G1430" s="5"/>
      <c r="H1430" s="10"/>
      <c r="I1430" s="6"/>
      <c r="J1430" s="6"/>
      <c r="K1430" s="6"/>
      <c r="L1430" s="6"/>
      <c r="M1430" s="6"/>
      <c r="N1430" s="6"/>
      <c r="O1430" s="6"/>
      <c r="P1430" s="10"/>
      <c r="Q1430" s="6"/>
      <c r="R1430" s="6"/>
    </row>
    <row r="1431">
      <c r="A1431" s="5"/>
      <c r="B1431" s="6"/>
      <c r="C1431" s="5"/>
      <c r="D1431" s="5"/>
      <c r="E1431" s="9"/>
      <c r="F1431" s="5"/>
      <c r="G1431" s="5"/>
      <c r="H1431" s="10"/>
      <c r="I1431" s="6"/>
      <c r="J1431" s="6"/>
      <c r="K1431" s="6"/>
      <c r="L1431" s="6"/>
      <c r="M1431" s="6"/>
      <c r="N1431" s="6"/>
      <c r="O1431" s="6"/>
      <c r="P1431" s="10"/>
      <c r="Q1431" s="6"/>
      <c r="R1431" s="6"/>
    </row>
    <row r="1432">
      <c r="A1432" s="5"/>
      <c r="B1432" s="6"/>
      <c r="C1432" s="5"/>
      <c r="D1432" s="5"/>
      <c r="E1432" s="9"/>
      <c r="F1432" s="5"/>
      <c r="G1432" s="5"/>
      <c r="H1432" s="10"/>
      <c r="I1432" s="6"/>
      <c r="J1432" s="6"/>
      <c r="K1432" s="6"/>
      <c r="L1432" s="6"/>
      <c r="M1432" s="6"/>
      <c r="N1432" s="6"/>
      <c r="O1432" s="6"/>
      <c r="P1432" s="10"/>
      <c r="Q1432" s="6"/>
      <c r="R1432" s="6"/>
    </row>
    <row r="1433">
      <c r="A1433" s="5"/>
      <c r="B1433" s="6"/>
      <c r="C1433" s="5"/>
      <c r="D1433" s="5"/>
      <c r="E1433" s="9"/>
      <c r="F1433" s="5"/>
      <c r="G1433" s="5"/>
      <c r="H1433" s="10"/>
      <c r="I1433" s="6"/>
      <c r="J1433" s="6"/>
      <c r="K1433" s="6"/>
      <c r="L1433" s="6"/>
      <c r="M1433" s="6"/>
      <c r="N1433" s="6"/>
      <c r="O1433" s="6"/>
      <c r="P1433" s="10"/>
      <c r="Q1433" s="6"/>
      <c r="R1433" s="6"/>
    </row>
    <row r="1434">
      <c r="A1434" s="5"/>
      <c r="B1434" s="6"/>
      <c r="C1434" s="5"/>
      <c r="D1434" s="5"/>
      <c r="E1434" s="9"/>
      <c r="F1434" s="5"/>
      <c r="G1434" s="5"/>
      <c r="H1434" s="10"/>
      <c r="I1434" s="6"/>
      <c r="J1434" s="6"/>
      <c r="K1434" s="6"/>
      <c r="L1434" s="6"/>
      <c r="M1434" s="6"/>
      <c r="N1434" s="6"/>
      <c r="O1434" s="6"/>
      <c r="P1434" s="10"/>
      <c r="Q1434" s="6"/>
      <c r="R1434" s="6"/>
    </row>
    <row r="1435">
      <c r="A1435" s="5"/>
      <c r="B1435" s="6"/>
      <c r="C1435" s="5"/>
      <c r="D1435" s="5"/>
      <c r="E1435" s="9"/>
      <c r="F1435" s="5"/>
      <c r="G1435" s="5"/>
      <c r="H1435" s="10"/>
      <c r="I1435" s="6"/>
      <c r="J1435" s="6"/>
      <c r="K1435" s="6"/>
      <c r="L1435" s="6"/>
      <c r="M1435" s="6"/>
      <c r="N1435" s="6"/>
      <c r="O1435" s="6"/>
      <c r="P1435" s="10"/>
      <c r="Q1435" s="6"/>
      <c r="R1435" s="6"/>
    </row>
    <row r="1436">
      <c r="A1436" s="5"/>
      <c r="B1436" s="6"/>
      <c r="C1436" s="5"/>
      <c r="D1436" s="5"/>
      <c r="E1436" s="9"/>
      <c r="F1436" s="5"/>
      <c r="G1436" s="5"/>
      <c r="H1436" s="10"/>
      <c r="I1436" s="6"/>
      <c r="J1436" s="6"/>
      <c r="K1436" s="6"/>
      <c r="L1436" s="6"/>
      <c r="M1436" s="6"/>
      <c r="N1436" s="6"/>
      <c r="O1436" s="6"/>
      <c r="P1436" s="10"/>
      <c r="Q1436" s="6"/>
      <c r="R1436" s="6"/>
    </row>
    <row r="1437">
      <c r="A1437" s="5"/>
      <c r="B1437" s="6"/>
      <c r="C1437" s="5"/>
      <c r="D1437" s="5"/>
      <c r="E1437" s="9"/>
      <c r="F1437" s="5"/>
      <c r="G1437" s="5"/>
      <c r="H1437" s="10"/>
      <c r="I1437" s="6"/>
      <c r="J1437" s="6"/>
      <c r="K1437" s="6"/>
      <c r="L1437" s="6"/>
      <c r="M1437" s="6"/>
      <c r="N1437" s="6"/>
      <c r="O1437" s="6"/>
      <c r="P1437" s="10"/>
      <c r="Q1437" s="6"/>
      <c r="R1437" s="6"/>
    </row>
    <row r="1438">
      <c r="A1438" s="5"/>
      <c r="B1438" s="6"/>
      <c r="C1438" s="5"/>
      <c r="D1438" s="5"/>
      <c r="E1438" s="9"/>
      <c r="F1438" s="5"/>
      <c r="G1438" s="5"/>
      <c r="H1438" s="10"/>
      <c r="I1438" s="6"/>
      <c r="J1438" s="6"/>
      <c r="K1438" s="6"/>
      <c r="L1438" s="6"/>
      <c r="M1438" s="6"/>
      <c r="N1438" s="6"/>
      <c r="O1438" s="6"/>
      <c r="P1438" s="10"/>
      <c r="Q1438" s="6"/>
      <c r="R1438" s="6"/>
    </row>
    <row r="1439">
      <c r="A1439" s="5"/>
      <c r="B1439" s="6"/>
      <c r="C1439" s="5"/>
      <c r="D1439" s="5"/>
      <c r="E1439" s="9"/>
      <c r="F1439" s="5"/>
      <c r="G1439" s="5"/>
      <c r="H1439" s="10"/>
      <c r="I1439" s="6"/>
      <c r="J1439" s="6"/>
      <c r="K1439" s="6"/>
      <c r="L1439" s="6"/>
      <c r="M1439" s="6"/>
      <c r="N1439" s="6"/>
      <c r="O1439" s="6"/>
      <c r="P1439" s="10"/>
      <c r="Q1439" s="6"/>
      <c r="R1439" s="6"/>
    </row>
    <row r="1440">
      <c r="A1440" s="5"/>
      <c r="B1440" s="6"/>
      <c r="C1440" s="5"/>
      <c r="D1440" s="5"/>
      <c r="E1440" s="9"/>
      <c r="F1440" s="5"/>
      <c r="G1440" s="5"/>
      <c r="H1440" s="10"/>
      <c r="I1440" s="6"/>
      <c r="J1440" s="6"/>
      <c r="K1440" s="6"/>
      <c r="L1440" s="6"/>
      <c r="M1440" s="6"/>
      <c r="N1440" s="6"/>
      <c r="O1440" s="6"/>
      <c r="P1440" s="10"/>
      <c r="Q1440" s="6"/>
      <c r="R1440" s="6"/>
    </row>
    <row r="1441">
      <c r="A1441" s="5"/>
      <c r="B1441" s="6"/>
      <c r="C1441" s="5"/>
      <c r="D1441" s="5"/>
      <c r="E1441" s="9"/>
      <c r="F1441" s="5"/>
      <c r="G1441" s="5"/>
      <c r="H1441" s="10"/>
      <c r="I1441" s="6"/>
      <c r="J1441" s="6"/>
      <c r="K1441" s="6"/>
      <c r="L1441" s="6"/>
      <c r="M1441" s="6"/>
      <c r="N1441" s="6"/>
      <c r="O1441" s="6"/>
      <c r="P1441" s="10"/>
      <c r="Q1441" s="6"/>
      <c r="R1441" s="6"/>
    </row>
    <row r="1442">
      <c r="A1442" s="5"/>
      <c r="B1442" s="6"/>
      <c r="C1442" s="5"/>
      <c r="D1442" s="5"/>
      <c r="E1442" s="9"/>
      <c r="F1442" s="5"/>
      <c r="G1442" s="5"/>
      <c r="H1442" s="10"/>
      <c r="I1442" s="6"/>
      <c r="J1442" s="6"/>
      <c r="K1442" s="6"/>
      <c r="L1442" s="6"/>
      <c r="M1442" s="6"/>
      <c r="N1442" s="6"/>
      <c r="O1442" s="6"/>
      <c r="P1442" s="10"/>
      <c r="Q1442" s="6"/>
      <c r="R1442" s="6"/>
    </row>
    <row r="1443">
      <c r="A1443" s="5"/>
      <c r="B1443" s="6"/>
      <c r="C1443" s="5"/>
      <c r="D1443" s="5"/>
      <c r="E1443" s="9"/>
      <c r="F1443" s="5"/>
      <c r="G1443" s="5"/>
      <c r="H1443" s="10"/>
      <c r="I1443" s="6"/>
      <c r="J1443" s="6"/>
      <c r="K1443" s="6"/>
      <c r="L1443" s="6"/>
      <c r="M1443" s="6"/>
      <c r="N1443" s="6"/>
      <c r="O1443" s="6"/>
      <c r="P1443" s="10"/>
      <c r="Q1443" s="6"/>
      <c r="R1443" s="6"/>
    </row>
    <row r="1444">
      <c r="A1444" s="5"/>
      <c r="B1444" s="6"/>
      <c r="C1444" s="5"/>
      <c r="D1444" s="5"/>
      <c r="E1444" s="9"/>
      <c r="F1444" s="5"/>
      <c r="G1444" s="5"/>
      <c r="H1444" s="10"/>
      <c r="I1444" s="6"/>
      <c r="J1444" s="6"/>
      <c r="K1444" s="6"/>
      <c r="L1444" s="6"/>
      <c r="M1444" s="6"/>
      <c r="N1444" s="6"/>
      <c r="O1444" s="6"/>
      <c r="P1444" s="10"/>
      <c r="Q1444" s="6"/>
      <c r="R1444" s="6"/>
    </row>
    <row r="1445">
      <c r="A1445" s="5"/>
      <c r="B1445" s="6"/>
      <c r="C1445" s="5"/>
      <c r="D1445" s="5"/>
      <c r="E1445" s="9"/>
      <c r="F1445" s="5"/>
      <c r="G1445" s="5"/>
      <c r="H1445" s="10"/>
      <c r="I1445" s="6"/>
      <c r="J1445" s="6"/>
      <c r="K1445" s="6"/>
      <c r="L1445" s="6"/>
      <c r="M1445" s="6"/>
      <c r="N1445" s="6"/>
      <c r="O1445" s="6"/>
      <c r="P1445" s="10"/>
      <c r="Q1445" s="6"/>
      <c r="R1445" s="6"/>
    </row>
    <row r="1446">
      <c r="A1446" s="5"/>
      <c r="B1446" s="6"/>
      <c r="C1446" s="5"/>
      <c r="D1446" s="5"/>
      <c r="E1446" s="9"/>
      <c r="F1446" s="5"/>
      <c r="G1446" s="5"/>
      <c r="H1446" s="10"/>
      <c r="I1446" s="6"/>
      <c r="J1446" s="6"/>
      <c r="K1446" s="6"/>
      <c r="L1446" s="6"/>
      <c r="M1446" s="6"/>
      <c r="N1446" s="6"/>
      <c r="O1446" s="6"/>
      <c r="P1446" s="10"/>
      <c r="Q1446" s="6"/>
      <c r="R1446" s="6"/>
    </row>
    <row r="1447">
      <c r="A1447" s="5"/>
      <c r="B1447" s="6"/>
      <c r="C1447" s="5"/>
      <c r="D1447" s="5"/>
      <c r="E1447" s="9"/>
      <c r="F1447" s="5"/>
      <c r="G1447" s="5"/>
      <c r="H1447" s="10"/>
      <c r="I1447" s="6"/>
      <c r="J1447" s="6"/>
      <c r="K1447" s="6"/>
      <c r="L1447" s="6"/>
      <c r="M1447" s="6"/>
      <c r="N1447" s="6"/>
      <c r="O1447" s="6"/>
      <c r="P1447" s="10"/>
      <c r="Q1447" s="6"/>
      <c r="R1447" s="6"/>
    </row>
    <row r="1448">
      <c r="A1448" s="5"/>
      <c r="B1448" s="6"/>
      <c r="C1448" s="5"/>
      <c r="D1448" s="5"/>
      <c r="E1448" s="9"/>
      <c r="F1448" s="5"/>
      <c r="G1448" s="5"/>
      <c r="H1448" s="10"/>
      <c r="I1448" s="6"/>
      <c r="J1448" s="6"/>
      <c r="K1448" s="6"/>
      <c r="L1448" s="6"/>
      <c r="M1448" s="6"/>
      <c r="N1448" s="6"/>
      <c r="O1448" s="6"/>
      <c r="P1448" s="10"/>
      <c r="Q1448" s="6"/>
      <c r="R1448" s="6"/>
    </row>
    <row r="1449">
      <c r="A1449" s="5"/>
      <c r="B1449" s="6"/>
      <c r="C1449" s="5"/>
      <c r="D1449" s="5"/>
      <c r="E1449" s="9"/>
      <c r="F1449" s="5"/>
      <c r="G1449" s="5"/>
      <c r="H1449" s="10"/>
      <c r="I1449" s="6"/>
      <c r="J1449" s="6"/>
      <c r="K1449" s="6"/>
      <c r="L1449" s="6"/>
      <c r="M1449" s="6"/>
      <c r="N1449" s="6"/>
      <c r="O1449" s="6"/>
      <c r="P1449" s="10"/>
      <c r="Q1449" s="6"/>
      <c r="R1449" s="6"/>
    </row>
    <row r="1450">
      <c r="A1450" s="5"/>
      <c r="B1450" s="6"/>
      <c r="C1450" s="5"/>
      <c r="D1450" s="5"/>
      <c r="E1450" s="9"/>
      <c r="F1450" s="5"/>
      <c r="G1450" s="5"/>
      <c r="H1450" s="10"/>
      <c r="I1450" s="6"/>
      <c r="J1450" s="6"/>
      <c r="K1450" s="6"/>
      <c r="L1450" s="6"/>
      <c r="M1450" s="6"/>
      <c r="N1450" s="6"/>
      <c r="O1450" s="6"/>
      <c r="P1450" s="10"/>
      <c r="Q1450" s="6"/>
      <c r="R1450" s="6"/>
    </row>
    <row r="1451">
      <c r="A1451" s="5"/>
      <c r="B1451" s="6"/>
      <c r="C1451" s="5"/>
      <c r="D1451" s="5"/>
      <c r="E1451" s="9"/>
      <c r="F1451" s="5"/>
      <c r="G1451" s="5"/>
      <c r="H1451" s="10"/>
      <c r="I1451" s="6"/>
      <c r="J1451" s="6"/>
      <c r="K1451" s="6"/>
      <c r="L1451" s="6"/>
      <c r="M1451" s="6"/>
      <c r="N1451" s="6"/>
      <c r="O1451" s="6"/>
      <c r="P1451" s="10"/>
      <c r="Q1451" s="6"/>
      <c r="R1451" s="6"/>
    </row>
    <row r="1452">
      <c r="A1452" s="5"/>
      <c r="B1452" s="6"/>
      <c r="C1452" s="5"/>
      <c r="D1452" s="5"/>
      <c r="E1452" s="9"/>
      <c r="F1452" s="5"/>
      <c r="G1452" s="5"/>
      <c r="H1452" s="10"/>
      <c r="I1452" s="6"/>
      <c r="J1452" s="6"/>
      <c r="K1452" s="6"/>
      <c r="L1452" s="6"/>
      <c r="M1452" s="6"/>
      <c r="N1452" s="6"/>
      <c r="O1452" s="6"/>
      <c r="P1452" s="10"/>
      <c r="Q1452" s="6"/>
      <c r="R1452" s="6"/>
    </row>
    <row r="1453">
      <c r="A1453" s="5"/>
      <c r="B1453" s="6"/>
      <c r="C1453" s="5"/>
      <c r="D1453" s="5"/>
      <c r="E1453" s="9"/>
      <c r="F1453" s="5"/>
      <c r="G1453" s="5"/>
      <c r="H1453" s="10"/>
      <c r="I1453" s="6"/>
      <c r="J1453" s="6"/>
      <c r="K1453" s="6"/>
      <c r="L1453" s="6"/>
      <c r="M1453" s="6"/>
      <c r="N1453" s="6"/>
      <c r="O1453" s="6"/>
      <c r="P1453" s="10"/>
      <c r="Q1453" s="6"/>
      <c r="R1453" s="6"/>
    </row>
    <row r="1454">
      <c r="A1454" s="5"/>
      <c r="B1454" s="6"/>
      <c r="C1454" s="5"/>
      <c r="D1454" s="5"/>
      <c r="E1454" s="9"/>
      <c r="F1454" s="5"/>
      <c r="G1454" s="5"/>
      <c r="H1454" s="10"/>
      <c r="I1454" s="6"/>
      <c r="J1454" s="6"/>
      <c r="K1454" s="6"/>
      <c r="L1454" s="6"/>
      <c r="M1454" s="6"/>
      <c r="N1454" s="6"/>
      <c r="O1454" s="6"/>
      <c r="P1454" s="10"/>
      <c r="Q1454" s="6"/>
      <c r="R1454" s="6"/>
    </row>
    <row r="1455">
      <c r="A1455" s="5"/>
      <c r="B1455" s="6"/>
      <c r="C1455" s="5"/>
      <c r="D1455" s="5"/>
      <c r="E1455" s="9"/>
      <c r="F1455" s="5"/>
      <c r="G1455" s="5"/>
      <c r="H1455" s="10"/>
      <c r="I1455" s="6"/>
      <c r="J1455" s="6"/>
      <c r="K1455" s="6"/>
      <c r="L1455" s="6"/>
      <c r="M1455" s="6"/>
      <c r="N1455" s="6"/>
      <c r="O1455" s="6"/>
      <c r="P1455" s="10"/>
      <c r="Q1455" s="6"/>
      <c r="R1455" s="6"/>
    </row>
    <row r="1456">
      <c r="A1456" s="5"/>
      <c r="B1456" s="6"/>
      <c r="C1456" s="5"/>
      <c r="D1456" s="5"/>
      <c r="E1456" s="9"/>
      <c r="F1456" s="5"/>
      <c r="G1456" s="5"/>
      <c r="H1456" s="10"/>
      <c r="I1456" s="6"/>
      <c r="J1456" s="6"/>
      <c r="K1456" s="6"/>
      <c r="L1456" s="6"/>
      <c r="M1456" s="6"/>
      <c r="N1456" s="6"/>
      <c r="O1456" s="6"/>
      <c r="P1456" s="10"/>
      <c r="Q1456" s="6"/>
      <c r="R1456" s="6"/>
    </row>
    <row r="1457">
      <c r="A1457" s="5"/>
      <c r="B1457" s="6"/>
      <c r="C1457" s="5"/>
      <c r="D1457" s="5"/>
      <c r="E1457" s="9"/>
      <c r="F1457" s="5"/>
      <c r="G1457" s="5"/>
      <c r="H1457" s="10"/>
      <c r="I1457" s="6"/>
      <c r="J1457" s="6"/>
      <c r="K1457" s="6"/>
      <c r="L1457" s="6"/>
      <c r="M1457" s="6"/>
      <c r="N1457" s="6"/>
      <c r="O1457" s="6"/>
      <c r="P1457" s="10"/>
      <c r="Q1457" s="6"/>
      <c r="R1457" s="6"/>
    </row>
    <row r="1458">
      <c r="A1458" s="5"/>
      <c r="B1458" s="6"/>
      <c r="C1458" s="5"/>
      <c r="D1458" s="5"/>
      <c r="E1458" s="9"/>
      <c r="F1458" s="5"/>
      <c r="G1458" s="5"/>
      <c r="H1458" s="10"/>
      <c r="I1458" s="6"/>
      <c r="J1458" s="6"/>
      <c r="K1458" s="6"/>
      <c r="L1458" s="6"/>
      <c r="M1458" s="6"/>
      <c r="N1458" s="6"/>
      <c r="O1458" s="6"/>
      <c r="P1458" s="10"/>
      <c r="Q1458" s="6"/>
      <c r="R1458" s="6"/>
    </row>
    <row r="1459">
      <c r="A1459" s="5"/>
      <c r="B1459" s="6"/>
      <c r="C1459" s="5"/>
      <c r="D1459" s="5"/>
      <c r="E1459" s="9"/>
      <c r="F1459" s="5"/>
      <c r="G1459" s="5"/>
      <c r="H1459" s="10"/>
      <c r="I1459" s="6"/>
      <c r="J1459" s="6"/>
      <c r="K1459" s="6"/>
      <c r="L1459" s="6"/>
      <c r="M1459" s="6"/>
      <c r="N1459" s="6"/>
      <c r="O1459" s="6"/>
      <c r="P1459" s="10"/>
      <c r="Q1459" s="6"/>
      <c r="R1459" s="6"/>
    </row>
    <row r="1460">
      <c r="A1460" s="5"/>
      <c r="B1460" s="6"/>
      <c r="C1460" s="5"/>
      <c r="D1460" s="5"/>
      <c r="E1460" s="9"/>
      <c r="F1460" s="5"/>
      <c r="G1460" s="5"/>
      <c r="H1460" s="10"/>
      <c r="I1460" s="6"/>
      <c r="J1460" s="6"/>
      <c r="K1460" s="6"/>
      <c r="L1460" s="6"/>
      <c r="M1460" s="6"/>
      <c r="N1460" s="6"/>
      <c r="O1460" s="6"/>
      <c r="P1460" s="10"/>
      <c r="Q1460" s="6"/>
      <c r="R1460" s="6"/>
    </row>
    <row r="1461">
      <c r="A1461" s="5"/>
      <c r="B1461" s="6"/>
      <c r="C1461" s="5"/>
      <c r="D1461" s="5"/>
      <c r="E1461" s="9"/>
      <c r="F1461" s="5"/>
      <c r="G1461" s="5"/>
      <c r="H1461" s="10"/>
      <c r="I1461" s="6"/>
      <c r="J1461" s="6"/>
      <c r="K1461" s="6"/>
      <c r="L1461" s="6"/>
      <c r="M1461" s="6"/>
      <c r="N1461" s="6"/>
      <c r="O1461" s="6"/>
      <c r="P1461" s="10"/>
      <c r="Q1461" s="6"/>
      <c r="R1461" s="6"/>
    </row>
    <row r="1462">
      <c r="A1462" s="5"/>
      <c r="B1462" s="6"/>
      <c r="C1462" s="5"/>
      <c r="D1462" s="5"/>
      <c r="E1462" s="9"/>
      <c r="F1462" s="5"/>
      <c r="G1462" s="5"/>
      <c r="H1462" s="10"/>
      <c r="I1462" s="6"/>
      <c r="J1462" s="6"/>
      <c r="K1462" s="6"/>
      <c r="L1462" s="6"/>
      <c r="M1462" s="6"/>
      <c r="N1462" s="6"/>
      <c r="O1462" s="6"/>
      <c r="P1462" s="10"/>
      <c r="Q1462" s="6"/>
      <c r="R1462" s="6"/>
    </row>
    <row r="1463">
      <c r="A1463" s="5"/>
      <c r="B1463" s="6"/>
      <c r="C1463" s="5"/>
      <c r="D1463" s="5"/>
      <c r="E1463" s="9"/>
      <c r="F1463" s="5"/>
      <c r="G1463" s="5"/>
      <c r="H1463" s="10"/>
      <c r="I1463" s="6"/>
      <c r="J1463" s="6"/>
      <c r="K1463" s="6"/>
      <c r="L1463" s="6"/>
      <c r="M1463" s="6"/>
      <c r="N1463" s="6"/>
      <c r="O1463" s="6"/>
      <c r="P1463" s="10"/>
      <c r="Q1463" s="6"/>
      <c r="R1463" s="6"/>
    </row>
    <row r="1464">
      <c r="A1464" s="5"/>
      <c r="B1464" s="6"/>
      <c r="C1464" s="5"/>
      <c r="D1464" s="5"/>
      <c r="E1464" s="9"/>
      <c r="F1464" s="5"/>
      <c r="G1464" s="5"/>
      <c r="H1464" s="10"/>
      <c r="I1464" s="6"/>
      <c r="J1464" s="6"/>
      <c r="K1464" s="6"/>
      <c r="L1464" s="6"/>
      <c r="M1464" s="6"/>
      <c r="N1464" s="6"/>
      <c r="O1464" s="6"/>
      <c r="P1464" s="10"/>
      <c r="Q1464" s="6"/>
      <c r="R1464" s="6"/>
    </row>
    <row r="1465">
      <c r="A1465" s="5"/>
      <c r="B1465" s="6"/>
      <c r="C1465" s="5"/>
      <c r="D1465" s="5"/>
      <c r="E1465" s="9"/>
      <c r="F1465" s="5"/>
      <c r="G1465" s="5"/>
      <c r="H1465" s="10"/>
      <c r="I1465" s="6"/>
      <c r="J1465" s="6"/>
      <c r="K1465" s="6"/>
      <c r="L1465" s="6"/>
      <c r="M1465" s="6"/>
      <c r="N1465" s="6"/>
      <c r="O1465" s="6"/>
      <c r="P1465" s="10"/>
      <c r="Q1465" s="6"/>
      <c r="R1465" s="6"/>
    </row>
    <row r="1466">
      <c r="A1466" s="5"/>
      <c r="B1466" s="6"/>
      <c r="C1466" s="5"/>
      <c r="D1466" s="5"/>
      <c r="E1466" s="9"/>
      <c r="F1466" s="5"/>
      <c r="G1466" s="5"/>
      <c r="H1466" s="10"/>
      <c r="I1466" s="6"/>
      <c r="J1466" s="6"/>
      <c r="K1466" s="6"/>
      <c r="L1466" s="6"/>
      <c r="M1466" s="6"/>
      <c r="N1466" s="6"/>
      <c r="O1466" s="6"/>
      <c r="P1466" s="10"/>
      <c r="Q1466" s="6"/>
      <c r="R1466" s="6"/>
    </row>
    <row r="1467">
      <c r="A1467" s="5"/>
      <c r="B1467" s="6"/>
      <c r="C1467" s="5"/>
      <c r="D1467" s="5"/>
      <c r="E1467" s="9"/>
      <c r="F1467" s="5"/>
      <c r="G1467" s="5"/>
      <c r="H1467" s="10"/>
      <c r="I1467" s="6"/>
      <c r="J1467" s="6"/>
      <c r="K1467" s="6"/>
      <c r="L1467" s="6"/>
      <c r="M1467" s="6"/>
      <c r="N1467" s="6"/>
      <c r="O1467" s="6"/>
      <c r="P1467" s="10"/>
      <c r="Q1467" s="6"/>
      <c r="R1467" s="6"/>
    </row>
    <row r="1468">
      <c r="A1468" s="5"/>
      <c r="B1468" s="6"/>
      <c r="C1468" s="5"/>
      <c r="D1468" s="5"/>
      <c r="E1468" s="9"/>
      <c r="F1468" s="5"/>
      <c r="G1468" s="5"/>
      <c r="H1468" s="10"/>
      <c r="I1468" s="6"/>
      <c r="J1468" s="6"/>
      <c r="K1468" s="6"/>
      <c r="L1468" s="6"/>
      <c r="M1468" s="6"/>
      <c r="N1468" s="6"/>
      <c r="O1468" s="6"/>
      <c r="P1468" s="10"/>
      <c r="Q1468" s="6"/>
      <c r="R1468" s="6"/>
    </row>
    <row r="1469">
      <c r="A1469" s="5"/>
      <c r="B1469" s="6"/>
      <c r="C1469" s="5"/>
      <c r="D1469" s="5"/>
      <c r="E1469" s="9"/>
      <c r="F1469" s="5"/>
      <c r="G1469" s="5"/>
      <c r="H1469" s="10"/>
      <c r="I1469" s="6"/>
      <c r="J1469" s="6"/>
      <c r="K1469" s="6"/>
      <c r="L1469" s="6"/>
      <c r="M1469" s="6"/>
      <c r="N1469" s="6"/>
      <c r="O1469" s="6"/>
      <c r="P1469" s="10"/>
      <c r="Q1469" s="6"/>
      <c r="R1469" s="6"/>
    </row>
    <row r="1470">
      <c r="A1470" s="5"/>
      <c r="B1470" s="6"/>
      <c r="C1470" s="5"/>
      <c r="D1470" s="5"/>
      <c r="E1470" s="9"/>
      <c r="F1470" s="5"/>
      <c r="G1470" s="5"/>
      <c r="H1470" s="10"/>
      <c r="I1470" s="6"/>
      <c r="J1470" s="6"/>
      <c r="K1470" s="6"/>
      <c r="L1470" s="6"/>
      <c r="M1470" s="6"/>
      <c r="N1470" s="6"/>
      <c r="O1470" s="6"/>
      <c r="P1470" s="10"/>
      <c r="Q1470" s="6"/>
      <c r="R1470" s="6"/>
    </row>
    <row r="1471">
      <c r="A1471" s="5"/>
      <c r="B1471" s="6"/>
      <c r="C1471" s="5"/>
      <c r="D1471" s="5"/>
      <c r="E1471" s="9"/>
      <c r="F1471" s="5"/>
      <c r="G1471" s="5"/>
      <c r="H1471" s="10"/>
      <c r="I1471" s="6"/>
      <c r="J1471" s="6"/>
      <c r="K1471" s="6"/>
      <c r="L1471" s="6"/>
      <c r="M1471" s="6"/>
      <c r="N1471" s="6"/>
      <c r="O1471" s="6"/>
      <c r="P1471" s="10"/>
      <c r="Q1471" s="6"/>
      <c r="R1471" s="6"/>
    </row>
    <row r="1472">
      <c r="A1472" s="5"/>
      <c r="B1472" s="6"/>
      <c r="C1472" s="5"/>
      <c r="D1472" s="5"/>
      <c r="E1472" s="9"/>
      <c r="F1472" s="5"/>
      <c r="G1472" s="5"/>
      <c r="H1472" s="10"/>
      <c r="I1472" s="6"/>
      <c r="J1472" s="6"/>
      <c r="K1472" s="6"/>
      <c r="L1472" s="6"/>
      <c r="M1472" s="6"/>
      <c r="N1472" s="6"/>
      <c r="O1472" s="6"/>
      <c r="P1472" s="10"/>
      <c r="Q1472" s="6"/>
      <c r="R1472" s="6"/>
    </row>
    <row r="1473">
      <c r="A1473" s="5"/>
      <c r="B1473" s="6"/>
      <c r="C1473" s="5"/>
      <c r="D1473" s="5"/>
      <c r="E1473" s="9"/>
      <c r="F1473" s="5"/>
      <c r="G1473" s="5"/>
      <c r="H1473" s="10"/>
      <c r="I1473" s="6"/>
      <c r="J1473" s="6"/>
      <c r="K1473" s="6"/>
      <c r="L1473" s="6"/>
      <c r="M1473" s="6"/>
      <c r="N1473" s="6"/>
      <c r="O1473" s="6"/>
      <c r="P1473" s="10"/>
      <c r="Q1473" s="6"/>
      <c r="R1473" s="6"/>
    </row>
    <row r="1474">
      <c r="A1474" s="5"/>
      <c r="B1474" s="6"/>
      <c r="C1474" s="5"/>
      <c r="D1474" s="5"/>
      <c r="E1474" s="9"/>
      <c r="F1474" s="5"/>
      <c r="G1474" s="5"/>
      <c r="H1474" s="10"/>
      <c r="I1474" s="6"/>
      <c r="J1474" s="6"/>
      <c r="K1474" s="6"/>
      <c r="L1474" s="6"/>
      <c r="M1474" s="6"/>
      <c r="N1474" s="6"/>
      <c r="O1474" s="6"/>
      <c r="P1474" s="10"/>
      <c r="Q1474" s="6"/>
      <c r="R1474" s="6"/>
    </row>
    <row r="1475">
      <c r="A1475" s="5"/>
      <c r="B1475" s="6"/>
      <c r="C1475" s="5"/>
      <c r="D1475" s="5"/>
      <c r="E1475" s="9"/>
      <c r="F1475" s="5"/>
      <c r="G1475" s="5"/>
      <c r="H1475" s="10"/>
      <c r="I1475" s="6"/>
      <c r="J1475" s="6"/>
      <c r="K1475" s="6"/>
      <c r="L1475" s="6"/>
      <c r="M1475" s="6"/>
      <c r="N1475" s="6"/>
      <c r="O1475" s="6"/>
      <c r="P1475" s="10"/>
      <c r="Q1475" s="6"/>
      <c r="R1475" s="6"/>
    </row>
    <row r="1476">
      <c r="A1476" s="5"/>
      <c r="B1476" s="6"/>
      <c r="C1476" s="5"/>
      <c r="D1476" s="5"/>
      <c r="E1476" s="9"/>
      <c r="F1476" s="5"/>
      <c r="G1476" s="5"/>
      <c r="H1476" s="10"/>
      <c r="I1476" s="6"/>
      <c r="J1476" s="6"/>
      <c r="K1476" s="6"/>
      <c r="L1476" s="6"/>
      <c r="M1476" s="6"/>
      <c r="N1476" s="6"/>
      <c r="O1476" s="6"/>
      <c r="P1476" s="10"/>
      <c r="Q1476" s="6"/>
      <c r="R1476" s="6"/>
    </row>
    <row r="1477">
      <c r="A1477" s="5"/>
      <c r="B1477" s="6"/>
      <c r="C1477" s="5"/>
      <c r="D1477" s="5"/>
      <c r="E1477" s="9"/>
      <c r="F1477" s="5"/>
      <c r="G1477" s="5"/>
      <c r="H1477" s="10"/>
      <c r="I1477" s="6"/>
      <c r="J1477" s="6"/>
      <c r="K1477" s="6"/>
      <c r="L1477" s="6"/>
      <c r="M1477" s="6"/>
      <c r="N1477" s="6"/>
      <c r="O1477" s="6"/>
      <c r="P1477" s="10"/>
      <c r="Q1477" s="6"/>
      <c r="R1477" s="6"/>
    </row>
    <row r="1478">
      <c r="A1478" s="5"/>
      <c r="B1478" s="6"/>
      <c r="C1478" s="5"/>
      <c r="D1478" s="5"/>
      <c r="E1478" s="9"/>
      <c r="F1478" s="5"/>
      <c r="G1478" s="5"/>
      <c r="H1478" s="10"/>
      <c r="I1478" s="6"/>
      <c r="J1478" s="6"/>
      <c r="K1478" s="6"/>
      <c r="L1478" s="6"/>
      <c r="M1478" s="6"/>
      <c r="N1478" s="6"/>
      <c r="O1478" s="6"/>
      <c r="P1478" s="10"/>
      <c r="Q1478" s="6"/>
      <c r="R1478" s="6"/>
    </row>
    <row r="1479">
      <c r="A1479" s="5"/>
      <c r="B1479" s="6"/>
      <c r="C1479" s="5"/>
      <c r="D1479" s="5"/>
      <c r="E1479" s="9"/>
      <c r="F1479" s="5"/>
      <c r="G1479" s="5"/>
      <c r="H1479" s="10"/>
      <c r="I1479" s="6"/>
      <c r="J1479" s="6"/>
      <c r="K1479" s="6"/>
      <c r="L1479" s="6"/>
      <c r="M1479" s="6"/>
      <c r="N1479" s="6"/>
      <c r="O1479" s="6"/>
      <c r="P1479" s="10"/>
      <c r="Q1479" s="6"/>
      <c r="R1479" s="6"/>
    </row>
    <row r="1480">
      <c r="A1480" s="5"/>
      <c r="B1480" s="6"/>
      <c r="C1480" s="5"/>
      <c r="D1480" s="5"/>
      <c r="E1480" s="9"/>
      <c r="F1480" s="5"/>
      <c r="G1480" s="5"/>
      <c r="H1480" s="10"/>
      <c r="I1480" s="6"/>
      <c r="J1480" s="6"/>
      <c r="K1480" s="6"/>
      <c r="L1480" s="6"/>
      <c r="M1480" s="6"/>
      <c r="N1480" s="6"/>
      <c r="O1480" s="6"/>
      <c r="P1480" s="10"/>
      <c r="Q1480" s="6"/>
      <c r="R1480" s="6"/>
    </row>
    <row r="1481">
      <c r="A1481" s="5"/>
      <c r="B1481" s="6"/>
      <c r="C1481" s="5"/>
      <c r="D1481" s="5"/>
      <c r="E1481" s="9"/>
      <c r="F1481" s="5"/>
      <c r="G1481" s="5"/>
      <c r="H1481" s="10"/>
      <c r="I1481" s="6"/>
      <c r="J1481" s="6"/>
      <c r="K1481" s="6"/>
      <c r="L1481" s="6"/>
      <c r="M1481" s="6"/>
      <c r="N1481" s="6"/>
      <c r="O1481" s="6"/>
      <c r="P1481" s="10"/>
      <c r="Q1481" s="6"/>
      <c r="R1481" s="6"/>
    </row>
    <row r="1482">
      <c r="A1482" s="5"/>
      <c r="B1482" s="6"/>
      <c r="C1482" s="5"/>
      <c r="D1482" s="5"/>
      <c r="E1482" s="9"/>
      <c r="F1482" s="5"/>
      <c r="G1482" s="5"/>
      <c r="H1482" s="10"/>
      <c r="I1482" s="6"/>
      <c r="J1482" s="6"/>
      <c r="K1482" s="6"/>
      <c r="L1482" s="6"/>
      <c r="M1482" s="6"/>
      <c r="N1482" s="6"/>
      <c r="O1482" s="6"/>
      <c r="P1482" s="10"/>
      <c r="Q1482" s="6"/>
      <c r="R1482" s="6"/>
    </row>
    <row r="1483">
      <c r="A1483" s="5"/>
      <c r="B1483" s="6"/>
      <c r="C1483" s="5"/>
      <c r="D1483" s="5"/>
      <c r="E1483" s="9"/>
      <c r="F1483" s="5"/>
      <c r="G1483" s="5"/>
      <c r="H1483" s="10"/>
      <c r="I1483" s="6"/>
      <c r="J1483" s="6"/>
      <c r="K1483" s="6"/>
      <c r="L1483" s="6"/>
      <c r="M1483" s="6"/>
      <c r="N1483" s="6"/>
      <c r="O1483" s="6"/>
      <c r="P1483" s="10"/>
      <c r="Q1483" s="6"/>
      <c r="R1483" s="6"/>
    </row>
    <row r="1484">
      <c r="A1484" s="5"/>
      <c r="B1484" s="6"/>
      <c r="C1484" s="5"/>
      <c r="D1484" s="5"/>
      <c r="E1484" s="9"/>
      <c r="F1484" s="5"/>
      <c r="G1484" s="5"/>
      <c r="H1484" s="10"/>
      <c r="I1484" s="6"/>
      <c r="J1484" s="6"/>
      <c r="K1484" s="6"/>
      <c r="L1484" s="6"/>
      <c r="M1484" s="6"/>
      <c r="N1484" s="6"/>
      <c r="O1484" s="6"/>
      <c r="P1484" s="10"/>
      <c r="Q1484" s="6"/>
      <c r="R1484" s="6"/>
    </row>
    <row r="1485">
      <c r="A1485" s="5"/>
      <c r="B1485" s="6"/>
      <c r="C1485" s="5"/>
      <c r="D1485" s="5"/>
      <c r="E1485" s="9"/>
      <c r="F1485" s="5"/>
      <c r="G1485" s="5"/>
      <c r="H1485" s="10"/>
      <c r="I1485" s="6"/>
      <c r="J1485" s="6"/>
      <c r="K1485" s="6"/>
      <c r="L1485" s="6"/>
      <c r="M1485" s="6"/>
      <c r="N1485" s="6"/>
      <c r="O1485" s="6"/>
      <c r="P1485" s="10"/>
      <c r="Q1485" s="6"/>
      <c r="R1485" s="6"/>
    </row>
    <row r="1486">
      <c r="A1486" s="5"/>
      <c r="B1486" s="6"/>
      <c r="C1486" s="5"/>
      <c r="D1486" s="5"/>
      <c r="E1486" s="9"/>
      <c r="F1486" s="5"/>
      <c r="G1486" s="5"/>
      <c r="H1486" s="10"/>
      <c r="I1486" s="6"/>
      <c r="J1486" s="6"/>
      <c r="K1486" s="6"/>
      <c r="L1486" s="6"/>
      <c r="M1486" s="6"/>
      <c r="N1486" s="6"/>
      <c r="O1486" s="6"/>
      <c r="P1486" s="10"/>
      <c r="Q1486" s="6"/>
      <c r="R1486" s="6"/>
    </row>
    <row r="1487">
      <c r="A1487" s="5"/>
      <c r="B1487" s="6"/>
      <c r="C1487" s="5"/>
      <c r="D1487" s="5"/>
      <c r="E1487" s="9"/>
      <c r="F1487" s="5"/>
      <c r="G1487" s="5"/>
      <c r="H1487" s="10"/>
      <c r="I1487" s="6"/>
      <c r="J1487" s="6"/>
      <c r="K1487" s="6"/>
      <c r="L1487" s="6"/>
      <c r="M1487" s="6"/>
      <c r="N1487" s="6"/>
      <c r="O1487" s="6"/>
      <c r="P1487" s="10"/>
      <c r="Q1487" s="6"/>
      <c r="R1487" s="6"/>
    </row>
    <row r="1488">
      <c r="A1488" s="5"/>
      <c r="B1488" s="6"/>
      <c r="C1488" s="5"/>
      <c r="D1488" s="5"/>
      <c r="E1488" s="9"/>
      <c r="F1488" s="5"/>
      <c r="G1488" s="5"/>
      <c r="H1488" s="10"/>
      <c r="I1488" s="6"/>
      <c r="J1488" s="6"/>
      <c r="K1488" s="6"/>
      <c r="L1488" s="6"/>
      <c r="M1488" s="6"/>
      <c r="N1488" s="6"/>
      <c r="O1488" s="6"/>
      <c r="P1488" s="10"/>
      <c r="Q1488" s="6"/>
      <c r="R1488" s="6"/>
    </row>
    <row r="1489">
      <c r="A1489" s="5"/>
      <c r="B1489" s="6"/>
      <c r="C1489" s="5"/>
      <c r="D1489" s="5"/>
      <c r="E1489" s="9"/>
      <c r="F1489" s="5"/>
      <c r="G1489" s="5"/>
      <c r="H1489" s="10"/>
      <c r="I1489" s="6"/>
      <c r="J1489" s="6"/>
      <c r="K1489" s="6"/>
      <c r="L1489" s="6"/>
      <c r="M1489" s="6"/>
      <c r="N1489" s="6"/>
      <c r="O1489" s="6"/>
      <c r="P1489" s="10"/>
      <c r="Q1489" s="6"/>
      <c r="R1489" s="6"/>
    </row>
    <row r="1490">
      <c r="A1490" s="5"/>
      <c r="B1490" s="6"/>
      <c r="C1490" s="5"/>
      <c r="D1490" s="5"/>
      <c r="E1490" s="9"/>
      <c r="F1490" s="5"/>
      <c r="G1490" s="5"/>
      <c r="H1490" s="10"/>
      <c r="I1490" s="6"/>
      <c r="J1490" s="6"/>
      <c r="K1490" s="6"/>
      <c r="L1490" s="6"/>
      <c r="M1490" s="6"/>
      <c r="N1490" s="6"/>
      <c r="O1490" s="6"/>
      <c r="P1490" s="10"/>
      <c r="Q1490" s="6"/>
      <c r="R1490" s="6"/>
    </row>
    <row r="1491">
      <c r="A1491" s="5"/>
      <c r="B1491" s="6"/>
      <c r="C1491" s="5"/>
      <c r="D1491" s="5"/>
      <c r="E1491" s="9"/>
      <c r="F1491" s="5"/>
      <c r="G1491" s="5"/>
      <c r="H1491" s="10"/>
      <c r="I1491" s="6"/>
      <c r="J1491" s="6"/>
      <c r="K1491" s="6"/>
      <c r="L1491" s="6"/>
      <c r="M1491" s="6"/>
      <c r="N1491" s="6"/>
      <c r="O1491" s="6"/>
      <c r="P1491" s="10"/>
      <c r="Q1491" s="6"/>
      <c r="R1491" s="6"/>
    </row>
    <row r="1492">
      <c r="A1492" s="5"/>
      <c r="B1492" s="6"/>
      <c r="C1492" s="5"/>
      <c r="D1492" s="5"/>
      <c r="E1492" s="9"/>
      <c r="F1492" s="5"/>
      <c r="G1492" s="5"/>
      <c r="H1492" s="10"/>
      <c r="I1492" s="6"/>
      <c r="J1492" s="6"/>
      <c r="K1492" s="6"/>
      <c r="L1492" s="6"/>
      <c r="M1492" s="6"/>
      <c r="N1492" s="6"/>
      <c r="O1492" s="6"/>
      <c r="P1492" s="10"/>
      <c r="Q1492" s="6"/>
      <c r="R1492" s="6"/>
    </row>
    <row r="1493">
      <c r="A1493" s="5"/>
      <c r="B1493" s="6"/>
      <c r="C1493" s="5"/>
      <c r="D1493" s="5"/>
      <c r="E1493" s="9"/>
      <c r="F1493" s="5"/>
      <c r="G1493" s="5"/>
      <c r="H1493" s="10"/>
      <c r="I1493" s="6"/>
      <c r="J1493" s="6"/>
      <c r="K1493" s="6"/>
      <c r="L1493" s="6"/>
      <c r="M1493" s="6"/>
      <c r="N1493" s="6"/>
      <c r="O1493" s="6"/>
      <c r="P1493" s="10"/>
      <c r="Q1493" s="6"/>
      <c r="R1493" s="6"/>
    </row>
    <row r="1494">
      <c r="A1494" s="5"/>
      <c r="B1494" s="6"/>
      <c r="C1494" s="5"/>
      <c r="D1494" s="5"/>
      <c r="E1494" s="9"/>
      <c r="F1494" s="5"/>
      <c r="G1494" s="5"/>
      <c r="H1494" s="10"/>
      <c r="I1494" s="6"/>
      <c r="J1494" s="6"/>
      <c r="K1494" s="6"/>
      <c r="L1494" s="6"/>
      <c r="M1494" s="6"/>
      <c r="N1494" s="6"/>
      <c r="O1494" s="6"/>
      <c r="P1494" s="10"/>
      <c r="Q1494" s="6"/>
      <c r="R1494" s="6"/>
    </row>
    <row r="1495">
      <c r="A1495" s="5"/>
      <c r="B1495" s="6"/>
      <c r="C1495" s="5"/>
      <c r="D1495" s="5"/>
      <c r="E1495" s="9"/>
      <c r="F1495" s="5"/>
      <c r="G1495" s="5"/>
      <c r="H1495" s="10"/>
      <c r="I1495" s="6"/>
      <c r="J1495" s="6"/>
      <c r="K1495" s="6"/>
      <c r="L1495" s="6"/>
      <c r="M1495" s="6"/>
      <c r="N1495" s="6"/>
      <c r="O1495" s="6"/>
      <c r="P1495" s="10"/>
      <c r="Q1495" s="6"/>
      <c r="R1495" s="6"/>
    </row>
    <row r="1496">
      <c r="A1496" s="5"/>
      <c r="B1496" s="6"/>
      <c r="C1496" s="5"/>
      <c r="D1496" s="5"/>
      <c r="E1496" s="9"/>
      <c r="F1496" s="5"/>
      <c r="G1496" s="5"/>
      <c r="H1496" s="10"/>
      <c r="I1496" s="6"/>
      <c r="J1496" s="6"/>
      <c r="K1496" s="6"/>
      <c r="L1496" s="6"/>
      <c r="M1496" s="6"/>
      <c r="N1496" s="6"/>
      <c r="O1496" s="6"/>
      <c r="P1496" s="10"/>
      <c r="Q1496" s="6"/>
      <c r="R1496" s="6"/>
    </row>
    <row r="1497">
      <c r="A1497" s="5"/>
      <c r="B1497" s="6"/>
      <c r="C1497" s="5"/>
      <c r="D1497" s="5"/>
      <c r="E1497" s="9"/>
      <c r="F1497" s="5"/>
      <c r="G1497" s="5"/>
      <c r="H1497" s="10"/>
      <c r="I1497" s="6"/>
      <c r="J1497" s="6"/>
      <c r="K1497" s="6"/>
      <c r="L1497" s="6"/>
      <c r="M1497" s="6"/>
      <c r="N1497" s="6"/>
      <c r="O1497" s="6"/>
      <c r="P1497" s="10"/>
      <c r="Q1497" s="6"/>
      <c r="R1497" s="6"/>
    </row>
    <row r="1498">
      <c r="A1498" s="5"/>
      <c r="B1498" s="6"/>
      <c r="C1498" s="5"/>
      <c r="D1498" s="5"/>
      <c r="E1498" s="9"/>
      <c r="F1498" s="5"/>
      <c r="G1498" s="5"/>
      <c r="H1498" s="10"/>
      <c r="I1498" s="6"/>
      <c r="J1498" s="6"/>
      <c r="K1498" s="6"/>
      <c r="L1498" s="6"/>
      <c r="M1498" s="6"/>
      <c r="N1498" s="6"/>
      <c r="O1498" s="6"/>
      <c r="P1498" s="10"/>
      <c r="Q1498" s="6"/>
      <c r="R1498" s="6"/>
    </row>
    <row r="1499">
      <c r="A1499" s="5"/>
      <c r="B1499" s="6"/>
      <c r="C1499" s="5"/>
      <c r="D1499" s="5"/>
      <c r="E1499" s="9"/>
      <c r="F1499" s="5"/>
      <c r="G1499" s="5"/>
      <c r="H1499" s="10"/>
      <c r="I1499" s="6"/>
      <c r="J1499" s="6"/>
      <c r="K1499" s="6"/>
      <c r="L1499" s="6"/>
      <c r="M1499" s="6"/>
      <c r="N1499" s="6"/>
      <c r="O1499" s="6"/>
      <c r="P1499" s="10"/>
      <c r="Q1499" s="6"/>
      <c r="R1499" s="6"/>
    </row>
    <row r="1500">
      <c r="A1500" s="5"/>
      <c r="B1500" s="6"/>
      <c r="C1500" s="5"/>
      <c r="D1500" s="5"/>
      <c r="E1500" s="9"/>
      <c r="F1500" s="5"/>
      <c r="G1500" s="5"/>
      <c r="H1500" s="10"/>
      <c r="I1500" s="6"/>
      <c r="J1500" s="6"/>
      <c r="K1500" s="6"/>
      <c r="L1500" s="6"/>
      <c r="M1500" s="6"/>
      <c r="N1500" s="6"/>
      <c r="O1500" s="6"/>
      <c r="P1500" s="10"/>
      <c r="Q1500" s="6"/>
      <c r="R1500" s="6"/>
    </row>
    <row r="1501">
      <c r="A1501" s="5"/>
      <c r="B1501" s="6"/>
      <c r="C1501" s="5"/>
      <c r="D1501" s="5"/>
      <c r="E1501" s="9"/>
      <c r="F1501" s="5"/>
      <c r="G1501" s="5"/>
      <c r="H1501" s="10"/>
      <c r="I1501" s="6"/>
      <c r="J1501" s="6"/>
      <c r="K1501" s="6"/>
      <c r="L1501" s="6"/>
      <c r="M1501" s="6"/>
      <c r="N1501" s="6"/>
      <c r="O1501" s="6"/>
      <c r="P1501" s="10"/>
      <c r="Q1501" s="6"/>
      <c r="R1501" s="6"/>
    </row>
    <row r="1502">
      <c r="A1502" s="5"/>
      <c r="B1502" s="6"/>
      <c r="C1502" s="5"/>
      <c r="D1502" s="5"/>
      <c r="E1502" s="9"/>
      <c r="F1502" s="5"/>
      <c r="G1502" s="5"/>
      <c r="H1502" s="10"/>
      <c r="I1502" s="6"/>
      <c r="J1502" s="6"/>
      <c r="K1502" s="6"/>
      <c r="L1502" s="6"/>
      <c r="M1502" s="6"/>
      <c r="N1502" s="6"/>
      <c r="O1502" s="6"/>
      <c r="P1502" s="10"/>
      <c r="Q1502" s="6"/>
      <c r="R1502" s="6"/>
    </row>
    <row r="1503">
      <c r="A1503" s="5"/>
      <c r="B1503" s="6"/>
      <c r="C1503" s="5"/>
      <c r="D1503" s="5"/>
      <c r="E1503" s="9"/>
      <c r="F1503" s="5"/>
      <c r="G1503" s="5"/>
      <c r="H1503" s="10"/>
      <c r="I1503" s="6"/>
      <c r="J1503" s="6"/>
      <c r="K1503" s="6"/>
      <c r="L1503" s="6"/>
      <c r="M1503" s="6"/>
      <c r="N1503" s="6"/>
      <c r="O1503" s="6"/>
      <c r="P1503" s="10"/>
      <c r="Q1503" s="6"/>
      <c r="R1503" s="6"/>
    </row>
    <row r="1504">
      <c r="A1504" s="5"/>
      <c r="B1504" s="6"/>
      <c r="C1504" s="5"/>
      <c r="D1504" s="5"/>
      <c r="E1504" s="9"/>
      <c r="F1504" s="5"/>
      <c r="G1504" s="5"/>
      <c r="H1504" s="10"/>
      <c r="I1504" s="6"/>
      <c r="J1504" s="6"/>
      <c r="K1504" s="6"/>
      <c r="L1504" s="6"/>
      <c r="M1504" s="6"/>
      <c r="N1504" s="6"/>
      <c r="O1504" s="6"/>
      <c r="P1504" s="10"/>
      <c r="Q1504" s="6"/>
      <c r="R1504" s="6"/>
    </row>
    <row r="1505">
      <c r="A1505" s="5"/>
      <c r="B1505" s="6"/>
      <c r="C1505" s="5"/>
      <c r="D1505" s="5"/>
      <c r="E1505" s="9"/>
      <c r="F1505" s="5"/>
      <c r="G1505" s="5"/>
      <c r="H1505" s="10"/>
      <c r="I1505" s="6"/>
      <c r="J1505" s="6"/>
      <c r="K1505" s="6"/>
      <c r="L1505" s="6"/>
      <c r="M1505" s="6"/>
      <c r="N1505" s="6"/>
      <c r="O1505" s="6"/>
      <c r="P1505" s="10"/>
      <c r="Q1505" s="6"/>
      <c r="R1505" s="6"/>
    </row>
    <row r="1506">
      <c r="A1506" s="5"/>
      <c r="B1506" s="6"/>
      <c r="C1506" s="5"/>
      <c r="D1506" s="5"/>
      <c r="E1506" s="9"/>
      <c r="F1506" s="5"/>
      <c r="G1506" s="5"/>
      <c r="H1506" s="10"/>
      <c r="I1506" s="6"/>
      <c r="J1506" s="6"/>
      <c r="K1506" s="6"/>
      <c r="L1506" s="6"/>
      <c r="M1506" s="6"/>
      <c r="N1506" s="6"/>
      <c r="O1506" s="6"/>
      <c r="P1506" s="10"/>
      <c r="Q1506" s="6"/>
      <c r="R1506" s="6"/>
    </row>
    <row r="1507">
      <c r="A1507" s="5"/>
      <c r="B1507" s="6"/>
      <c r="C1507" s="5"/>
      <c r="D1507" s="5"/>
      <c r="E1507" s="9"/>
      <c r="F1507" s="5"/>
      <c r="G1507" s="5"/>
      <c r="H1507" s="10"/>
      <c r="I1507" s="6"/>
      <c r="J1507" s="6"/>
      <c r="K1507" s="6"/>
      <c r="L1507" s="6"/>
      <c r="M1507" s="6"/>
      <c r="N1507" s="6"/>
      <c r="O1507" s="6"/>
      <c r="P1507" s="10"/>
      <c r="Q1507" s="6"/>
      <c r="R1507" s="6"/>
    </row>
    <row r="1508">
      <c r="A1508" s="5"/>
      <c r="B1508" s="6"/>
      <c r="C1508" s="5"/>
      <c r="D1508" s="5"/>
      <c r="E1508" s="9"/>
      <c r="F1508" s="5"/>
      <c r="G1508" s="5"/>
      <c r="H1508" s="10"/>
      <c r="I1508" s="6"/>
      <c r="J1508" s="6"/>
      <c r="K1508" s="6"/>
      <c r="L1508" s="6"/>
      <c r="M1508" s="6"/>
      <c r="N1508" s="6"/>
      <c r="O1508" s="6"/>
      <c r="P1508" s="10"/>
      <c r="Q1508" s="6"/>
      <c r="R1508" s="6"/>
    </row>
    <row r="1509">
      <c r="A1509" s="5"/>
      <c r="B1509" s="6"/>
      <c r="C1509" s="5"/>
      <c r="D1509" s="5"/>
      <c r="E1509" s="9"/>
      <c r="F1509" s="5"/>
      <c r="G1509" s="5"/>
      <c r="H1509" s="10"/>
      <c r="I1509" s="6"/>
      <c r="J1509" s="6"/>
      <c r="K1509" s="6"/>
      <c r="L1509" s="6"/>
      <c r="M1509" s="6"/>
      <c r="N1509" s="6"/>
      <c r="O1509" s="6"/>
      <c r="P1509" s="10"/>
      <c r="Q1509" s="6"/>
      <c r="R1509" s="6"/>
    </row>
    <row r="1510">
      <c r="A1510" s="5"/>
      <c r="B1510" s="6"/>
      <c r="C1510" s="5"/>
      <c r="D1510" s="5"/>
      <c r="E1510" s="9"/>
      <c r="F1510" s="5"/>
      <c r="G1510" s="5"/>
      <c r="H1510" s="10"/>
      <c r="I1510" s="6"/>
      <c r="J1510" s="6"/>
      <c r="K1510" s="6"/>
      <c r="L1510" s="6"/>
      <c r="M1510" s="6"/>
      <c r="N1510" s="6"/>
      <c r="O1510" s="6"/>
      <c r="P1510" s="10"/>
      <c r="Q1510" s="6"/>
      <c r="R1510" s="6"/>
    </row>
    <row r="1511">
      <c r="A1511" s="5"/>
      <c r="B1511" s="6"/>
      <c r="C1511" s="5"/>
      <c r="D1511" s="5"/>
      <c r="E1511" s="9"/>
      <c r="F1511" s="5"/>
      <c r="G1511" s="5"/>
      <c r="H1511" s="10"/>
      <c r="I1511" s="6"/>
      <c r="J1511" s="6"/>
      <c r="K1511" s="6"/>
      <c r="L1511" s="6"/>
      <c r="M1511" s="6"/>
      <c r="N1511" s="6"/>
      <c r="O1511" s="6"/>
      <c r="P1511" s="10"/>
      <c r="Q1511" s="6"/>
      <c r="R1511" s="6"/>
    </row>
    <row r="1512">
      <c r="A1512" s="5"/>
      <c r="B1512" s="6"/>
      <c r="C1512" s="5"/>
      <c r="D1512" s="5"/>
      <c r="E1512" s="9"/>
      <c r="F1512" s="5"/>
      <c r="G1512" s="5"/>
      <c r="H1512" s="10"/>
      <c r="I1512" s="6"/>
      <c r="J1512" s="6"/>
      <c r="K1512" s="6"/>
      <c r="L1512" s="6"/>
      <c r="M1512" s="6"/>
      <c r="N1512" s="6"/>
      <c r="O1512" s="6"/>
      <c r="P1512" s="10"/>
      <c r="Q1512" s="6"/>
      <c r="R1512" s="6"/>
    </row>
    <row r="1513">
      <c r="A1513" s="5"/>
      <c r="B1513" s="6"/>
      <c r="C1513" s="5"/>
      <c r="D1513" s="5"/>
      <c r="E1513" s="9"/>
      <c r="F1513" s="5"/>
      <c r="G1513" s="5"/>
      <c r="H1513" s="10"/>
      <c r="I1513" s="6"/>
      <c r="J1513" s="6"/>
      <c r="K1513" s="6"/>
      <c r="L1513" s="6"/>
      <c r="M1513" s="6"/>
      <c r="N1513" s="6"/>
      <c r="O1513" s="6"/>
      <c r="P1513" s="10"/>
      <c r="Q1513" s="6"/>
      <c r="R1513" s="6"/>
    </row>
    <row r="1514">
      <c r="A1514" s="5"/>
      <c r="B1514" s="6"/>
      <c r="C1514" s="5"/>
      <c r="D1514" s="5"/>
      <c r="E1514" s="9"/>
      <c r="F1514" s="5"/>
      <c r="G1514" s="5"/>
      <c r="H1514" s="10"/>
      <c r="I1514" s="6"/>
      <c r="J1514" s="6"/>
      <c r="K1514" s="6"/>
      <c r="L1514" s="6"/>
      <c r="M1514" s="6"/>
      <c r="N1514" s="6"/>
      <c r="O1514" s="6"/>
      <c r="P1514" s="10"/>
      <c r="Q1514" s="6"/>
      <c r="R1514" s="6"/>
    </row>
    <row r="1515">
      <c r="A1515" s="5"/>
      <c r="B1515" s="6"/>
      <c r="C1515" s="5"/>
      <c r="D1515" s="5"/>
      <c r="E1515" s="9"/>
      <c r="F1515" s="5"/>
      <c r="G1515" s="5"/>
      <c r="H1515" s="10"/>
      <c r="I1515" s="6"/>
      <c r="J1515" s="6"/>
      <c r="K1515" s="6"/>
      <c r="L1515" s="6"/>
      <c r="M1515" s="6"/>
      <c r="N1515" s="6"/>
      <c r="O1515" s="6"/>
      <c r="P1515" s="10"/>
      <c r="Q1515" s="6"/>
      <c r="R1515" s="6"/>
    </row>
    <row r="1516">
      <c r="A1516" s="5"/>
      <c r="B1516" s="6"/>
      <c r="C1516" s="5"/>
      <c r="D1516" s="5"/>
      <c r="E1516" s="9"/>
      <c r="F1516" s="5"/>
      <c r="G1516" s="5"/>
      <c r="H1516" s="10"/>
      <c r="I1516" s="6"/>
      <c r="J1516" s="6"/>
      <c r="K1516" s="6"/>
      <c r="L1516" s="6"/>
      <c r="M1516" s="6"/>
      <c r="N1516" s="6"/>
      <c r="O1516" s="6"/>
      <c r="P1516" s="10"/>
      <c r="Q1516" s="6"/>
      <c r="R1516" s="6"/>
    </row>
    <row r="1517">
      <c r="A1517" s="5"/>
      <c r="B1517" s="6"/>
      <c r="C1517" s="5"/>
      <c r="D1517" s="5"/>
      <c r="E1517" s="9"/>
      <c r="F1517" s="5"/>
      <c r="G1517" s="5"/>
      <c r="H1517" s="10"/>
      <c r="I1517" s="6"/>
      <c r="J1517" s="6"/>
      <c r="K1517" s="6"/>
      <c r="L1517" s="6"/>
      <c r="M1517" s="6"/>
      <c r="N1517" s="6"/>
      <c r="O1517" s="6"/>
      <c r="P1517" s="10"/>
      <c r="Q1517" s="6"/>
      <c r="R1517" s="6"/>
    </row>
    <row r="1518">
      <c r="A1518" s="5"/>
      <c r="B1518" s="6"/>
      <c r="C1518" s="5"/>
      <c r="D1518" s="5"/>
      <c r="E1518" s="9"/>
      <c r="F1518" s="5"/>
      <c r="G1518" s="5"/>
      <c r="H1518" s="10"/>
      <c r="I1518" s="6"/>
      <c r="J1518" s="6"/>
      <c r="K1518" s="6"/>
      <c r="L1518" s="6"/>
      <c r="M1518" s="6"/>
      <c r="N1518" s="6"/>
      <c r="O1518" s="6"/>
      <c r="P1518" s="10"/>
      <c r="Q1518" s="6"/>
      <c r="R1518" s="6"/>
    </row>
    <row r="1519">
      <c r="A1519" s="5"/>
      <c r="B1519" s="6"/>
      <c r="C1519" s="5"/>
      <c r="D1519" s="5"/>
      <c r="E1519" s="9"/>
      <c r="F1519" s="5"/>
      <c r="G1519" s="5"/>
      <c r="H1519" s="10"/>
      <c r="I1519" s="6"/>
      <c r="J1519" s="6"/>
      <c r="K1519" s="6"/>
      <c r="L1519" s="6"/>
      <c r="M1519" s="6"/>
      <c r="N1519" s="6"/>
      <c r="O1519" s="6"/>
      <c r="P1519" s="10"/>
      <c r="Q1519" s="6"/>
      <c r="R1519" s="6"/>
    </row>
    <row r="1520">
      <c r="A1520" s="5"/>
      <c r="B1520" s="6"/>
      <c r="C1520" s="5"/>
      <c r="D1520" s="5"/>
      <c r="E1520" s="9"/>
      <c r="F1520" s="5"/>
      <c r="G1520" s="5"/>
      <c r="H1520" s="10"/>
      <c r="I1520" s="6"/>
      <c r="J1520" s="6"/>
      <c r="K1520" s="6"/>
      <c r="L1520" s="6"/>
      <c r="M1520" s="6"/>
      <c r="N1520" s="6"/>
      <c r="O1520" s="6"/>
      <c r="P1520" s="10"/>
      <c r="Q1520" s="6"/>
      <c r="R1520" s="6"/>
    </row>
    <row r="1521">
      <c r="A1521" s="5"/>
      <c r="B1521" s="6"/>
      <c r="C1521" s="5"/>
      <c r="D1521" s="5"/>
      <c r="E1521" s="9"/>
      <c r="F1521" s="5"/>
      <c r="G1521" s="5"/>
      <c r="H1521" s="10"/>
      <c r="I1521" s="6"/>
      <c r="J1521" s="6"/>
      <c r="K1521" s="6"/>
      <c r="L1521" s="6"/>
      <c r="M1521" s="6"/>
      <c r="N1521" s="6"/>
      <c r="O1521" s="6"/>
      <c r="P1521" s="10"/>
      <c r="Q1521" s="6"/>
      <c r="R1521" s="6"/>
    </row>
    <row r="1522">
      <c r="A1522" s="5"/>
      <c r="B1522" s="6"/>
      <c r="C1522" s="5"/>
      <c r="D1522" s="5"/>
      <c r="E1522" s="9"/>
      <c r="F1522" s="5"/>
      <c r="G1522" s="5"/>
      <c r="H1522" s="10"/>
      <c r="I1522" s="6"/>
      <c r="J1522" s="6"/>
      <c r="K1522" s="6"/>
      <c r="L1522" s="6"/>
      <c r="M1522" s="6"/>
      <c r="N1522" s="6"/>
      <c r="O1522" s="6"/>
      <c r="P1522" s="10"/>
      <c r="Q1522" s="6"/>
      <c r="R1522" s="6"/>
    </row>
    <row r="1523">
      <c r="A1523" s="5"/>
      <c r="B1523" s="6"/>
      <c r="C1523" s="5"/>
      <c r="D1523" s="5"/>
      <c r="E1523" s="9"/>
      <c r="F1523" s="5"/>
      <c r="G1523" s="5"/>
      <c r="H1523" s="10"/>
      <c r="I1523" s="6"/>
      <c r="J1523" s="6"/>
      <c r="K1523" s="6"/>
      <c r="L1523" s="6"/>
      <c r="M1523" s="6"/>
      <c r="N1523" s="6"/>
      <c r="O1523" s="6"/>
      <c r="P1523" s="10"/>
      <c r="Q1523" s="6"/>
      <c r="R1523" s="6"/>
    </row>
    <row r="1524">
      <c r="A1524" s="5"/>
      <c r="B1524" s="6"/>
      <c r="C1524" s="5"/>
      <c r="D1524" s="5"/>
      <c r="E1524" s="9"/>
      <c r="F1524" s="5"/>
      <c r="G1524" s="5"/>
      <c r="H1524" s="10"/>
      <c r="I1524" s="6"/>
      <c r="J1524" s="6"/>
      <c r="K1524" s="6"/>
      <c r="L1524" s="6"/>
      <c r="M1524" s="6"/>
      <c r="N1524" s="6"/>
      <c r="O1524" s="6"/>
      <c r="P1524" s="10"/>
      <c r="Q1524" s="6"/>
      <c r="R1524" s="6"/>
    </row>
    <row r="1525">
      <c r="A1525" s="5"/>
      <c r="B1525" s="6"/>
      <c r="C1525" s="5"/>
      <c r="D1525" s="5"/>
      <c r="E1525" s="9"/>
      <c r="F1525" s="5"/>
      <c r="G1525" s="5"/>
      <c r="H1525" s="10"/>
      <c r="I1525" s="6"/>
      <c r="J1525" s="6"/>
      <c r="K1525" s="6"/>
      <c r="L1525" s="6"/>
      <c r="M1525" s="6"/>
      <c r="N1525" s="6"/>
      <c r="O1525" s="6"/>
      <c r="P1525" s="10"/>
      <c r="Q1525" s="6"/>
      <c r="R1525" s="6"/>
    </row>
    <row r="1526">
      <c r="A1526" s="5"/>
      <c r="B1526" s="6"/>
      <c r="C1526" s="5"/>
      <c r="D1526" s="5"/>
      <c r="E1526" s="9"/>
      <c r="F1526" s="5"/>
      <c r="G1526" s="5"/>
      <c r="H1526" s="10"/>
      <c r="I1526" s="6"/>
      <c r="J1526" s="6"/>
      <c r="K1526" s="6"/>
      <c r="L1526" s="6"/>
      <c r="M1526" s="6"/>
      <c r="N1526" s="6"/>
      <c r="O1526" s="6"/>
      <c r="P1526" s="10"/>
      <c r="Q1526" s="6"/>
      <c r="R1526" s="6"/>
    </row>
    <row r="1527">
      <c r="A1527" s="5"/>
      <c r="B1527" s="6"/>
      <c r="C1527" s="5"/>
      <c r="D1527" s="5"/>
      <c r="E1527" s="9"/>
      <c r="F1527" s="5"/>
      <c r="G1527" s="5"/>
      <c r="H1527" s="10"/>
      <c r="I1527" s="6"/>
      <c r="J1527" s="6"/>
      <c r="K1527" s="6"/>
      <c r="L1527" s="6"/>
      <c r="M1527" s="6"/>
      <c r="N1527" s="6"/>
      <c r="O1527" s="6"/>
      <c r="P1527" s="10"/>
      <c r="Q1527" s="6"/>
      <c r="R1527" s="6"/>
    </row>
    <row r="1528">
      <c r="A1528" s="5"/>
      <c r="B1528" s="6"/>
      <c r="C1528" s="5"/>
      <c r="D1528" s="5"/>
      <c r="E1528" s="9"/>
      <c r="F1528" s="5"/>
      <c r="G1528" s="5"/>
      <c r="H1528" s="10"/>
      <c r="I1528" s="6"/>
      <c r="J1528" s="6"/>
      <c r="K1528" s="6"/>
      <c r="L1528" s="6"/>
      <c r="M1528" s="6"/>
      <c r="N1528" s="6"/>
      <c r="O1528" s="6"/>
      <c r="P1528" s="10"/>
      <c r="Q1528" s="6"/>
      <c r="R1528" s="6"/>
    </row>
    <row r="1529">
      <c r="A1529" s="5"/>
      <c r="B1529" s="6"/>
      <c r="C1529" s="5"/>
      <c r="D1529" s="5"/>
      <c r="E1529" s="9"/>
      <c r="F1529" s="5"/>
      <c r="G1529" s="5"/>
      <c r="H1529" s="10"/>
      <c r="I1529" s="6"/>
      <c r="J1529" s="6"/>
      <c r="K1529" s="6"/>
      <c r="L1529" s="6"/>
      <c r="M1529" s="6"/>
      <c r="N1529" s="6"/>
      <c r="O1529" s="6"/>
      <c r="P1529" s="10"/>
      <c r="Q1529" s="6"/>
      <c r="R1529" s="6"/>
    </row>
    <row r="1530">
      <c r="A1530" s="5"/>
      <c r="B1530" s="6"/>
      <c r="C1530" s="5"/>
      <c r="D1530" s="5"/>
      <c r="E1530" s="9"/>
      <c r="F1530" s="5"/>
      <c r="G1530" s="5"/>
      <c r="H1530" s="10"/>
      <c r="I1530" s="6"/>
      <c r="J1530" s="6"/>
      <c r="K1530" s="6"/>
      <c r="L1530" s="6"/>
      <c r="M1530" s="6"/>
      <c r="N1530" s="6"/>
      <c r="O1530" s="6"/>
      <c r="P1530" s="10"/>
      <c r="Q1530" s="6"/>
      <c r="R1530" s="6"/>
    </row>
    <row r="1531">
      <c r="A1531" s="5"/>
      <c r="B1531" s="6"/>
      <c r="C1531" s="5"/>
      <c r="D1531" s="5"/>
      <c r="E1531" s="9"/>
      <c r="F1531" s="5"/>
      <c r="G1531" s="5"/>
      <c r="H1531" s="10"/>
      <c r="I1531" s="6"/>
      <c r="J1531" s="6"/>
      <c r="K1531" s="6"/>
      <c r="L1531" s="6"/>
      <c r="M1531" s="6"/>
      <c r="N1531" s="6"/>
      <c r="O1531" s="6"/>
      <c r="P1531" s="10"/>
      <c r="Q1531" s="6"/>
      <c r="R1531" s="6"/>
    </row>
    <row r="1532">
      <c r="A1532" s="5"/>
      <c r="B1532" s="6"/>
      <c r="C1532" s="5"/>
      <c r="D1532" s="5"/>
      <c r="E1532" s="9"/>
      <c r="F1532" s="5"/>
      <c r="G1532" s="5"/>
      <c r="H1532" s="10"/>
      <c r="I1532" s="6"/>
      <c r="J1532" s="6"/>
      <c r="K1532" s="6"/>
      <c r="L1532" s="6"/>
      <c r="M1532" s="6"/>
      <c r="N1532" s="6"/>
      <c r="O1532" s="6"/>
      <c r="P1532" s="10"/>
      <c r="Q1532" s="6"/>
      <c r="R1532" s="6"/>
    </row>
    <row r="1533">
      <c r="A1533" s="5"/>
      <c r="B1533" s="6"/>
      <c r="C1533" s="5"/>
      <c r="D1533" s="5"/>
      <c r="E1533" s="9"/>
      <c r="F1533" s="5"/>
      <c r="G1533" s="5"/>
      <c r="H1533" s="10"/>
      <c r="I1533" s="6"/>
      <c r="J1533" s="6"/>
      <c r="K1533" s="6"/>
      <c r="L1533" s="6"/>
      <c r="M1533" s="6"/>
      <c r="N1533" s="6"/>
      <c r="O1533" s="6"/>
      <c r="P1533" s="10"/>
      <c r="Q1533" s="6"/>
      <c r="R1533" s="6"/>
    </row>
    <row r="1534">
      <c r="A1534" s="5"/>
      <c r="B1534" s="6"/>
      <c r="C1534" s="5"/>
      <c r="D1534" s="5"/>
      <c r="E1534" s="9"/>
      <c r="F1534" s="5"/>
      <c r="G1534" s="5"/>
      <c r="H1534" s="10"/>
      <c r="I1534" s="6"/>
      <c r="J1534" s="6"/>
      <c r="K1534" s="6"/>
      <c r="L1534" s="6"/>
      <c r="M1534" s="6"/>
      <c r="N1534" s="6"/>
      <c r="O1534" s="6"/>
      <c r="P1534" s="10"/>
      <c r="Q1534" s="6"/>
      <c r="R1534" s="6"/>
    </row>
    <row r="1535">
      <c r="A1535" s="5"/>
      <c r="B1535" s="6"/>
      <c r="C1535" s="5"/>
      <c r="D1535" s="5"/>
      <c r="E1535" s="9"/>
      <c r="F1535" s="5"/>
      <c r="G1535" s="5"/>
      <c r="H1535" s="10"/>
      <c r="I1535" s="6"/>
      <c r="J1535" s="6"/>
      <c r="K1535" s="6"/>
      <c r="L1535" s="6"/>
      <c r="M1535" s="6"/>
      <c r="N1535" s="6"/>
      <c r="O1535" s="6"/>
      <c r="P1535" s="10"/>
      <c r="Q1535" s="6"/>
      <c r="R1535" s="6"/>
    </row>
    <row r="1536">
      <c r="A1536" s="5"/>
      <c r="B1536" s="6"/>
      <c r="C1536" s="5"/>
      <c r="D1536" s="5"/>
      <c r="E1536" s="9"/>
      <c r="F1536" s="5"/>
      <c r="G1536" s="5"/>
      <c r="H1536" s="10"/>
      <c r="I1536" s="6"/>
      <c r="J1536" s="6"/>
      <c r="K1536" s="6"/>
      <c r="L1536" s="6"/>
      <c r="M1536" s="6"/>
      <c r="N1536" s="6"/>
      <c r="O1536" s="6"/>
      <c r="P1536" s="10"/>
      <c r="Q1536" s="6"/>
      <c r="R1536" s="6"/>
    </row>
    <row r="1537">
      <c r="A1537" s="5"/>
      <c r="B1537" s="6"/>
      <c r="C1537" s="5"/>
      <c r="D1537" s="5"/>
      <c r="E1537" s="9"/>
      <c r="F1537" s="5"/>
      <c r="G1537" s="5"/>
      <c r="H1537" s="10"/>
      <c r="I1537" s="6"/>
      <c r="J1537" s="6"/>
      <c r="K1537" s="6"/>
      <c r="L1537" s="6"/>
      <c r="M1537" s="6"/>
      <c r="N1537" s="6"/>
      <c r="O1537" s="6"/>
      <c r="P1537" s="10"/>
      <c r="Q1537" s="6"/>
      <c r="R1537" s="6"/>
    </row>
    <row r="1538">
      <c r="A1538" s="5"/>
      <c r="B1538" s="6"/>
      <c r="C1538" s="5"/>
      <c r="D1538" s="5"/>
      <c r="E1538" s="9"/>
      <c r="F1538" s="5"/>
      <c r="G1538" s="5"/>
      <c r="H1538" s="10"/>
      <c r="I1538" s="6"/>
      <c r="J1538" s="6"/>
      <c r="K1538" s="6"/>
      <c r="L1538" s="6"/>
      <c r="M1538" s="6"/>
      <c r="N1538" s="6"/>
      <c r="O1538" s="6"/>
      <c r="P1538" s="10"/>
      <c r="Q1538" s="6"/>
      <c r="R1538" s="6"/>
    </row>
    <row r="1539">
      <c r="A1539" s="5"/>
      <c r="B1539" s="6"/>
      <c r="C1539" s="5"/>
      <c r="D1539" s="5"/>
      <c r="E1539" s="9"/>
      <c r="F1539" s="5"/>
      <c r="G1539" s="5"/>
      <c r="H1539" s="10"/>
      <c r="I1539" s="6"/>
      <c r="J1539" s="6"/>
      <c r="K1539" s="6"/>
      <c r="L1539" s="6"/>
      <c r="M1539" s="6"/>
      <c r="N1539" s="6"/>
      <c r="O1539" s="6"/>
      <c r="P1539" s="10"/>
      <c r="Q1539" s="6"/>
      <c r="R1539" s="6"/>
    </row>
    <row r="1540">
      <c r="A1540" s="5"/>
      <c r="B1540" s="6"/>
      <c r="C1540" s="5"/>
      <c r="D1540" s="5"/>
      <c r="E1540" s="9"/>
      <c r="F1540" s="5"/>
      <c r="G1540" s="5"/>
      <c r="H1540" s="10"/>
      <c r="I1540" s="6"/>
      <c r="J1540" s="6"/>
      <c r="K1540" s="6"/>
      <c r="L1540" s="6"/>
      <c r="M1540" s="6"/>
      <c r="N1540" s="6"/>
      <c r="O1540" s="6"/>
      <c r="P1540" s="10"/>
      <c r="Q1540" s="6"/>
      <c r="R1540" s="6"/>
    </row>
    <row r="1541">
      <c r="A1541" s="5"/>
      <c r="B1541" s="6"/>
      <c r="C1541" s="5"/>
      <c r="D1541" s="5"/>
      <c r="E1541" s="9"/>
      <c r="F1541" s="5"/>
      <c r="G1541" s="5"/>
      <c r="H1541" s="10"/>
      <c r="I1541" s="6"/>
      <c r="J1541" s="6"/>
      <c r="K1541" s="6"/>
      <c r="L1541" s="6"/>
      <c r="M1541" s="6"/>
      <c r="N1541" s="6"/>
      <c r="O1541" s="6"/>
      <c r="P1541" s="10"/>
      <c r="Q1541" s="6"/>
      <c r="R1541" s="6"/>
    </row>
    <row r="1542">
      <c r="A1542" s="5"/>
      <c r="B1542" s="6"/>
      <c r="C1542" s="5"/>
      <c r="D1542" s="5"/>
      <c r="E1542" s="9"/>
      <c r="F1542" s="5"/>
      <c r="G1542" s="5"/>
      <c r="H1542" s="10"/>
      <c r="I1542" s="6"/>
      <c r="J1542" s="6"/>
      <c r="K1542" s="6"/>
      <c r="L1542" s="6"/>
      <c r="M1542" s="6"/>
      <c r="N1542" s="6"/>
      <c r="O1542" s="6"/>
      <c r="P1542" s="10"/>
      <c r="Q1542" s="6"/>
      <c r="R1542" s="6"/>
    </row>
    <row r="1543">
      <c r="A1543" s="5"/>
      <c r="B1543" s="6"/>
      <c r="C1543" s="5"/>
      <c r="D1543" s="5"/>
      <c r="E1543" s="9"/>
      <c r="F1543" s="5"/>
      <c r="G1543" s="5"/>
      <c r="H1543" s="10"/>
      <c r="I1543" s="6"/>
      <c r="J1543" s="6"/>
      <c r="K1543" s="6"/>
      <c r="L1543" s="6"/>
      <c r="M1543" s="6"/>
      <c r="N1543" s="6"/>
      <c r="O1543" s="6"/>
      <c r="P1543" s="10"/>
      <c r="Q1543" s="6"/>
      <c r="R1543" s="6"/>
    </row>
    <row r="1544">
      <c r="A1544" s="5"/>
      <c r="B1544" s="6"/>
      <c r="C1544" s="5"/>
      <c r="D1544" s="5"/>
      <c r="E1544" s="9"/>
      <c r="F1544" s="5"/>
      <c r="G1544" s="5"/>
      <c r="H1544" s="10"/>
      <c r="I1544" s="6"/>
      <c r="J1544" s="6"/>
      <c r="K1544" s="6"/>
      <c r="L1544" s="6"/>
      <c r="M1544" s="6"/>
      <c r="N1544" s="6"/>
      <c r="O1544" s="6"/>
      <c r="P1544" s="10"/>
      <c r="Q1544" s="6"/>
      <c r="R1544" s="6"/>
    </row>
    <row r="1545">
      <c r="A1545" s="5"/>
      <c r="B1545" s="6"/>
      <c r="C1545" s="5"/>
      <c r="D1545" s="5"/>
      <c r="E1545" s="9"/>
      <c r="F1545" s="5"/>
      <c r="G1545" s="5"/>
      <c r="H1545" s="10"/>
      <c r="I1545" s="6"/>
      <c r="J1545" s="6"/>
      <c r="K1545" s="6"/>
      <c r="L1545" s="6"/>
      <c r="M1545" s="6"/>
      <c r="N1545" s="6"/>
      <c r="O1545" s="6"/>
      <c r="P1545" s="10"/>
      <c r="Q1545" s="6"/>
      <c r="R1545" s="6"/>
    </row>
    <row r="1546">
      <c r="A1546" s="5"/>
      <c r="B1546" s="6"/>
      <c r="C1546" s="5"/>
      <c r="D1546" s="5"/>
      <c r="E1546" s="9"/>
      <c r="F1546" s="5"/>
      <c r="G1546" s="5"/>
      <c r="H1546" s="10"/>
      <c r="I1546" s="6"/>
      <c r="J1546" s="6"/>
      <c r="K1546" s="6"/>
      <c r="L1546" s="6"/>
      <c r="M1546" s="6"/>
      <c r="N1546" s="6"/>
      <c r="O1546" s="6"/>
      <c r="P1546" s="10"/>
      <c r="Q1546" s="6"/>
      <c r="R1546" s="6"/>
    </row>
    <row r="1547">
      <c r="A1547" s="5"/>
      <c r="B1547" s="6"/>
      <c r="C1547" s="5"/>
      <c r="D1547" s="5"/>
      <c r="E1547" s="9"/>
      <c r="F1547" s="5"/>
      <c r="G1547" s="5"/>
      <c r="H1547" s="10"/>
      <c r="I1547" s="6"/>
      <c r="J1547" s="6"/>
      <c r="K1547" s="6"/>
      <c r="L1547" s="6"/>
      <c r="M1547" s="6"/>
      <c r="N1547" s="6"/>
      <c r="O1547" s="6"/>
      <c r="P1547" s="10"/>
      <c r="Q1547" s="6"/>
      <c r="R1547" s="6"/>
    </row>
    <row r="1548">
      <c r="A1548" s="5"/>
      <c r="B1548" s="6"/>
      <c r="C1548" s="5"/>
      <c r="D1548" s="5"/>
      <c r="E1548" s="9"/>
      <c r="F1548" s="5"/>
      <c r="G1548" s="5"/>
      <c r="H1548" s="10"/>
      <c r="I1548" s="6"/>
      <c r="J1548" s="6"/>
      <c r="K1548" s="6"/>
      <c r="L1548" s="6"/>
      <c r="M1548" s="6"/>
      <c r="N1548" s="6"/>
      <c r="O1548" s="6"/>
      <c r="P1548" s="10"/>
      <c r="Q1548" s="6"/>
      <c r="R1548" s="6"/>
    </row>
    <row r="1549">
      <c r="A1549" s="5"/>
      <c r="B1549" s="6"/>
      <c r="C1549" s="5"/>
      <c r="D1549" s="5"/>
      <c r="E1549" s="9"/>
      <c r="F1549" s="5"/>
      <c r="G1549" s="5"/>
      <c r="H1549" s="10"/>
      <c r="I1549" s="6"/>
      <c r="J1549" s="6"/>
      <c r="K1549" s="6"/>
      <c r="L1549" s="6"/>
      <c r="M1549" s="6"/>
      <c r="N1549" s="6"/>
      <c r="O1549" s="6"/>
      <c r="P1549" s="10"/>
      <c r="Q1549" s="6"/>
      <c r="R1549" s="6"/>
    </row>
    <row r="1550">
      <c r="A1550" s="5"/>
      <c r="B1550" s="6"/>
      <c r="C1550" s="5"/>
      <c r="D1550" s="5"/>
      <c r="E1550" s="9"/>
      <c r="F1550" s="5"/>
      <c r="G1550" s="5"/>
      <c r="H1550" s="10"/>
      <c r="I1550" s="6"/>
      <c r="J1550" s="6"/>
      <c r="K1550" s="6"/>
      <c r="L1550" s="6"/>
      <c r="M1550" s="6"/>
      <c r="N1550" s="6"/>
      <c r="O1550" s="6"/>
      <c r="P1550" s="10"/>
      <c r="Q1550" s="6"/>
      <c r="R1550" s="6"/>
    </row>
    <row r="1551">
      <c r="A1551" s="5"/>
      <c r="B1551" s="6"/>
      <c r="C1551" s="5"/>
      <c r="D1551" s="5"/>
      <c r="E1551" s="9"/>
      <c r="F1551" s="5"/>
      <c r="G1551" s="5"/>
      <c r="H1551" s="10"/>
      <c r="I1551" s="6"/>
      <c r="J1551" s="6"/>
      <c r="K1551" s="6"/>
      <c r="L1551" s="6"/>
      <c r="M1551" s="6"/>
      <c r="N1551" s="6"/>
      <c r="O1551" s="6"/>
      <c r="P1551" s="10"/>
      <c r="Q1551" s="6"/>
      <c r="R1551" s="6"/>
    </row>
    <row r="1552">
      <c r="A1552" s="5"/>
      <c r="B1552" s="6"/>
      <c r="C1552" s="5"/>
      <c r="D1552" s="5"/>
      <c r="E1552" s="9"/>
      <c r="F1552" s="5"/>
      <c r="G1552" s="5"/>
      <c r="H1552" s="10"/>
      <c r="I1552" s="6"/>
      <c r="J1552" s="6"/>
      <c r="K1552" s="6"/>
      <c r="L1552" s="6"/>
      <c r="M1552" s="6"/>
      <c r="N1552" s="6"/>
      <c r="O1552" s="6"/>
      <c r="P1552" s="10"/>
      <c r="Q1552" s="6"/>
      <c r="R1552" s="6"/>
    </row>
    <row r="1553">
      <c r="A1553" s="5"/>
      <c r="B1553" s="6"/>
      <c r="C1553" s="5"/>
      <c r="D1553" s="5"/>
      <c r="E1553" s="9"/>
      <c r="F1553" s="5"/>
      <c r="G1553" s="5"/>
      <c r="H1553" s="10"/>
      <c r="I1553" s="6"/>
      <c r="J1553" s="6"/>
      <c r="K1553" s="6"/>
      <c r="L1553" s="6"/>
      <c r="M1553" s="6"/>
      <c r="N1553" s="6"/>
      <c r="O1553" s="6"/>
      <c r="P1553" s="10"/>
      <c r="Q1553" s="6"/>
      <c r="R1553" s="6"/>
    </row>
    <row r="1554">
      <c r="A1554" s="5"/>
      <c r="B1554" s="6"/>
      <c r="C1554" s="5"/>
      <c r="D1554" s="5"/>
      <c r="E1554" s="9"/>
      <c r="F1554" s="5"/>
      <c r="G1554" s="5"/>
      <c r="H1554" s="10"/>
      <c r="I1554" s="6"/>
      <c r="J1554" s="6"/>
      <c r="K1554" s="6"/>
      <c r="L1554" s="6"/>
      <c r="M1554" s="6"/>
      <c r="N1554" s="6"/>
      <c r="O1554" s="6"/>
      <c r="P1554" s="10"/>
      <c r="Q1554" s="6"/>
      <c r="R1554" s="6"/>
    </row>
    <row r="1555">
      <c r="A1555" s="5"/>
      <c r="B1555" s="6"/>
      <c r="C1555" s="5"/>
      <c r="D1555" s="5"/>
      <c r="E1555" s="9"/>
      <c r="F1555" s="5"/>
      <c r="G1555" s="5"/>
      <c r="H1555" s="10"/>
      <c r="I1555" s="6"/>
      <c r="J1555" s="6"/>
      <c r="K1555" s="6"/>
      <c r="L1555" s="6"/>
      <c r="M1555" s="6"/>
      <c r="N1555" s="6"/>
      <c r="O1555" s="6"/>
      <c r="P1555" s="10"/>
      <c r="Q1555" s="6"/>
      <c r="R1555" s="6"/>
    </row>
    <row r="1556">
      <c r="A1556" s="5"/>
      <c r="B1556" s="6"/>
      <c r="C1556" s="5"/>
      <c r="D1556" s="5"/>
      <c r="E1556" s="9"/>
      <c r="F1556" s="5"/>
      <c r="G1556" s="5"/>
      <c r="H1556" s="10"/>
      <c r="I1556" s="6"/>
      <c r="J1556" s="6"/>
      <c r="K1556" s="6"/>
      <c r="L1556" s="6"/>
      <c r="M1556" s="6"/>
      <c r="N1556" s="6"/>
      <c r="O1556" s="6"/>
      <c r="P1556" s="10"/>
      <c r="Q1556" s="6"/>
      <c r="R1556" s="6"/>
    </row>
    <row r="1557">
      <c r="A1557" s="5"/>
      <c r="B1557" s="6"/>
      <c r="C1557" s="5"/>
      <c r="D1557" s="5"/>
      <c r="E1557" s="9"/>
      <c r="F1557" s="5"/>
      <c r="G1557" s="5"/>
      <c r="H1557" s="10"/>
      <c r="I1557" s="6"/>
      <c r="J1557" s="6"/>
      <c r="K1557" s="6"/>
      <c r="L1557" s="6"/>
      <c r="M1557" s="6"/>
      <c r="N1557" s="6"/>
      <c r="O1557" s="6"/>
      <c r="P1557" s="10"/>
      <c r="Q1557" s="6"/>
      <c r="R1557" s="6"/>
    </row>
    <row r="1558">
      <c r="A1558" s="5"/>
      <c r="B1558" s="6"/>
      <c r="C1558" s="5"/>
      <c r="D1558" s="5"/>
      <c r="E1558" s="9"/>
      <c r="F1558" s="5"/>
      <c r="G1558" s="5"/>
      <c r="H1558" s="10"/>
      <c r="I1558" s="6"/>
      <c r="J1558" s="6"/>
      <c r="K1558" s="6"/>
      <c r="L1558" s="6"/>
      <c r="M1558" s="6"/>
      <c r="N1558" s="6"/>
      <c r="O1558" s="6"/>
      <c r="P1558" s="10"/>
      <c r="Q1558" s="6"/>
      <c r="R1558" s="6"/>
    </row>
    <row r="1559">
      <c r="A1559" s="5"/>
      <c r="B1559" s="6"/>
      <c r="C1559" s="5"/>
      <c r="D1559" s="5"/>
      <c r="E1559" s="9"/>
      <c r="F1559" s="5"/>
      <c r="G1559" s="5"/>
      <c r="H1559" s="10"/>
      <c r="I1559" s="6"/>
      <c r="J1559" s="6"/>
      <c r="K1559" s="6"/>
      <c r="L1559" s="6"/>
      <c r="M1559" s="6"/>
      <c r="N1559" s="6"/>
      <c r="O1559" s="6"/>
      <c r="P1559" s="10"/>
      <c r="Q1559" s="6"/>
      <c r="R1559" s="6"/>
    </row>
    <row r="1560">
      <c r="A1560" s="5"/>
      <c r="B1560" s="6"/>
      <c r="C1560" s="5"/>
      <c r="D1560" s="5"/>
      <c r="E1560" s="9"/>
      <c r="F1560" s="5"/>
      <c r="G1560" s="5"/>
      <c r="H1560" s="10"/>
      <c r="I1560" s="6"/>
      <c r="J1560" s="6"/>
      <c r="K1560" s="6"/>
      <c r="L1560" s="6"/>
      <c r="M1560" s="6"/>
      <c r="N1560" s="6"/>
      <c r="O1560" s="6"/>
      <c r="P1560" s="10"/>
      <c r="Q1560" s="6"/>
      <c r="R1560" s="6"/>
    </row>
    <row r="1561">
      <c r="A1561" s="5"/>
      <c r="B1561" s="6"/>
      <c r="C1561" s="5"/>
      <c r="D1561" s="5"/>
      <c r="E1561" s="9"/>
      <c r="F1561" s="5"/>
      <c r="G1561" s="5"/>
      <c r="H1561" s="10"/>
      <c r="I1561" s="6"/>
      <c r="J1561" s="6"/>
      <c r="K1561" s="6"/>
      <c r="L1561" s="6"/>
      <c r="M1561" s="6"/>
      <c r="N1561" s="6"/>
      <c r="O1561" s="6"/>
      <c r="P1561" s="10"/>
      <c r="Q1561" s="6"/>
      <c r="R1561" s="6"/>
    </row>
    <row r="1562">
      <c r="A1562" s="5"/>
      <c r="B1562" s="6"/>
      <c r="C1562" s="5"/>
      <c r="D1562" s="5"/>
      <c r="E1562" s="9"/>
      <c r="F1562" s="5"/>
      <c r="G1562" s="5"/>
      <c r="H1562" s="10"/>
      <c r="I1562" s="6"/>
      <c r="J1562" s="6"/>
      <c r="K1562" s="6"/>
      <c r="L1562" s="6"/>
      <c r="M1562" s="6"/>
      <c r="N1562" s="6"/>
      <c r="O1562" s="6"/>
      <c r="P1562" s="10"/>
      <c r="Q1562" s="6"/>
      <c r="R1562" s="6"/>
    </row>
    <row r="1563">
      <c r="A1563" s="5"/>
      <c r="B1563" s="6"/>
      <c r="C1563" s="5"/>
      <c r="D1563" s="5"/>
      <c r="E1563" s="9"/>
      <c r="F1563" s="5"/>
      <c r="G1563" s="5"/>
      <c r="H1563" s="10"/>
      <c r="I1563" s="6"/>
      <c r="J1563" s="6"/>
      <c r="K1563" s="6"/>
      <c r="L1563" s="6"/>
      <c r="M1563" s="6"/>
      <c r="N1563" s="6"/>
      <c r="O1563" s="6"/>
      <c r="P1563" s="10"/>
      <c r="Q1563" s="6"/>
      <c r="R1563" s="6"/>
    </row>
    <row r="1564">
      <c r="A1564" s="5"/>
      <c r="B1564" s="6"/>
      <c r="C1564" s="5"/>
      <c r="D1564" s="5"/>
      <c r="E1564" s="9"/>
      <c r="F1564" s="5"/>
      <c r="G1564" s="5"/>
      <c r="H1564" s="10"/>
      <c r="I1564" s="6"/>
      <c r="J1564" s="6"/>
      <c r="K1564" s="6"/>
      <c r="L1564" s="6"/>
      <c r="M1564" s="6"/>
      <c r="N1564" s="6"/>
      <c r="O1564" s="6"/>
      <c r="P1564" s="10"/>
      <c r="Q1564" s="6"/>
      <c r="R1564" s="6"/>
    </row>
    <row r="1565">
      <c r="A1565" s="5"/>
      <c r="B1565" s="6"/>
      <c r="C1565" s="5"/>
      <c r="D1565" s="5"/>
      <c r="E1565" s="9"/>
      <c r="F1565" s="5"/>
      <c r="G1565" s="5"/>
      <c r="H1565" s="10"/>
      <c r="I1565" s="6"/>
      <c r="J1565" s="6"/>
      <c r="K1565" s="6"/>
      <c r="L1565" s="6"/>
      <c r="M1565" s="6"/>
      <c r="N1565" s="6"/>
      <c r="O1565" s="6"/>
      <c r="P1565" s="10"/>
      <c r="Q1565" s="6"/>
      <c r="R1565" s="6"/>
    </row>
    <row r="1566">
      <c r="A1566" s="5"/>
      <c r="B1566" s="6"/>
      <c r="C1566" s="5"/>
      <c r="D1566" s="5"/>
      <c r="E1566" s="9"/>
      <c r="F1566" s="5"/>
      <c r="G1566" s="5"/>
      <c r="H1566" s="10"/>
      <c r="I1566" s="6"/>
      <c r="J1566" s="6"/>
      <c r="K1566" s="6"/>
      <c r="L1566" s="6"/>
      <c r="M1566" s="6"/>
      <c r="N1566" s="6"/>
      <c r="O1566" s="6"/>
      <c r="P1566" s="10"/>
      <c r="Q1566" s="6"/>
      <c r="R1566" s="6"/>
    </row>
    <row r="1567">
      <c r="A1567" s="5"/>
      <c r="B1567" s="6"/>
      <c r="C1567" s="5"/>
      <c r="D1567" s="5"/>
      <c r="E1567" s="9"/>
      <c r="F1567" s="5"/>
      <c r="G1567" s="5"/>
      <c r="H1567" s="10"/>
      <c r="I1567" s="6"/>
      <c r="J1567" s="6"/>
      <c r="K1567" s="6"/>
      <c r="L1567" s="6"/>
      <c r="M1567" s="6"/>
      <c r="N1567" s="6"/>
      <c r="O1567" s="6"/>
      <c r="P1567" s="10"/>
      <c r="Q1567" s="6"/>
      <c r="R1567" s="6"/>
    </row>
    <row r="1568">
      <c r="A1568" s="5"/>
      <c r="B1568" s="6"/>
      <c r="C1568" s="5"/>
      <c r="D1568" s="5"/>
      <c r="E1568" s="9"/>
      <c r="F1568" s="5"/>
      <c r="G1568" s="5"/>
      <c r="H1568" s="10"/>
      <c r="I1568" s="6"/>
      <c r="J1568" s="6"/>
      <c r="K1568" s="6"/>
      <c r="L1568" s="6"/>
      <c r="M1568" s="6"/>
      <c r="N1568" s="6"/>
      <c r="O1568" s="6"/>
      <c r="P1568" s="10"/>
      <c r="Q1568" s="6"/>
      <c r="R1568" s="6"/>
    </row>
    <row r="1569">
      <c r="A1569" s="5"/>
      <c r="B1569" s="6"/>
      <c r="C1569" s="5"/>
      <c r="D1569" s="5"/>
      <c r="E1569" s="9"/>
      <c r="F1569" s="5"/>
      <c r="G1569" s="5"/>
      <c r="H1569" s="10"/>
      <c r="I1569" s="6"/>
      <c r="J1569" s="6"/>
      <c r="K1569" s="6"/>
      <c r="L1569" s="6"/>
      <c r="M1569" s="6"/>
      <c r="N1569" s="6"/>
      <c r="O1569" s="6"/>
      <c r="P1569" s="10"/>
      <c r="Q1569" s="6"/>
      <c r="R1569" s="6"/>
    </row>
    <row r="1570">
      <c r="A1570" s="5"/>
      <c r="B1570" s="6"/>
      <c r="C1570" s="5"/>
      <c r="D1570" s="5"/>
      <c r="E1570" s="9"/>
      <c r="F1570" s="5"/>
      <c r="G1570" s="5"/>
      <c r="H1570" s="10"/>
      <c r="I1570" s="6"/>
      <c r="J1570" s="6"/>
      <c r="K1570" s="6"/>
      <c r="L1570" s="6"/>
      <c r="M1570" s="6"/>
      <c r="N1570" s="6"/>
      <c r="O1570" s="6"/>
      <c r="P1570" s="10"/>
      <c r="Q1570" s="6"/>
      <c r="R1570" s="6"/>
    </row>
    <row r="1571">
      <c r="A1571" s="5"/>
      <c r="B1571" s="6"/>
      <c r="C1571" s="5"/>
      <c r="D1571" s="5"/>
      <c r="E1571" s="9"/>
      <c r="F1571" s="5"/>
      <c r="G1571" s="5"/>
      <c r="H1571" s="10"/>
      <c r="I1571" s="6"/>
      <c r="J1571" s="6"/>
      <c r="K1571" s="6"/>
      <c r="L1571" s="6"/>
      <c r="M1571" s="6"/>
      <c r="N1571" s="6"/>
      <c r="O1571" s="6"/>
      <c r="P1571" s="10"/>
      <c r="Q1571" s="6"/>
      <c r="R1571" s="6"/>
    </row>
    <row r="1572">
      <c r="A1572" s="5"/>
      <c r="B1572" s="6"/>
      <c r="C1572" s="5"/>
      <c r="D1572" s="5"/>
      <c r="E1572" s="9"/>
      <c r="F1572" s="5"/>
      <c r="G1572" s="5"/>
      <c r="H1572" s="10"/>
      <c r="I1572" s="6"/>
      <c r="J1572" s="6"/>
      <c r="K1572" s="6"/>
      <c r="L1572" s="6"/>
      <c r="M1572" s="6"/>
      <c r="N1572" s="6"/>
      <c r="O1572" s="6"/>
      <c r="P1572" s="10"/>
      <c r="Q1572" s="6"/>
      <c r="R1572" s="6"/>
    </row>
    <row r="1573">
      <c r="A1573" s="5"/>
      <c r="B1573" s="6"/>
      <c r="C1573" s="5"/>
      <c r="D1573" s="5"/>
      <c r="E1573" s="9"/>
      <c r="F1573" s="5"/>
      <c r="G1573" s="5"/>
      <c r="H1573" s="10"/>
      <c r="I1573" s="6"/>
      <c r="J1573" s="6"/>
      <c r="K1573" s="6"/>
      <c r="L1573" s="6"/>
      <c r="M1573" s="6"/>
      <c r="N1573" s="6"/>
      <c r="O1573" s="6"/>
      <c r="P1573" s="10"/>
      <c r="Q1573" s="6"/>
      <c r="R1573" s="6"/>
    </row>
    <row r="1574">
      <c r="A1574" s="5"/>
      <c r="B1574" s="6"/>
      <c r="C1574" s="5"/>
      <c r="D1574" s="5"/>
      <c r="E1574" s="9"/>
      <c r="F1574" s="5"/>
      <c r="G1574" s="5"/>
      <c r="H1574" s="10"/>
      <c r="I1574" s="6"/>
      <c r="J1574" s="6"/>
      <c r="K1574" s="6"/>
      <c r="L1574" s="6"/>
      <c r="M1574" s="6"/>
      <c r="N1574" s="6"/>
      <c r="O1574" s="6"/>
      <c r="P1574" s="10"/>
      <c r="Q1574" s="6"/>
      <c r="R1574" s="6"/>
    </row>
    <row r="1575">
      <c r="A1575" s="5"/>
      <c r="B1575" s="6"/>
      <c r="C1575" s="5"/>
      <c r="D1575" s="5"/>
      <c r="E1575" s="9"/>
      <c r="F1575" s="5"/>
      <c r="G1575" s="5"/>
      <c r="H1575" s="10"/>
      <c r="I1575" s="6"/>
      <c r="J1575" s="6"/>
      <c r="K1575" s="6"/>
      <c r="L1575" s="6"/>
      <c r="M1575" s="6"/>
      <c r="N1575" s="6"/>
      <c r="O1575" s="6"/>
      <c r="P1575" s="10"/>
      <c r="Q1575" s="6"/>
      <c r="R1575" s="6"/>
    </row>
    <row r="1576">
      <c r="A1576" s="5"/>
      <c r="B1576" s="6"/>
      <c r="C1576" s="5"/>
      <c r="D1576" s="5"/>
      <c r="E1576" s="9"/>
      <c r="F1576" s="5"/>
      <c r="G1576" s="5"/>
      <c r="H1576" s="10"/>
      <c r="I1576" s="6"/>
      <c r="J1576" s="6"/>
      <c r="K1576" s="6"/>
      <c r="L1576" s="6"/>
      <c r="M1576" s="6"/>
      <c r="N1576" s="6"/>
      <c r="O1576" s="6"/>
      <c r="P1576" s="10"/>
      <c r="Q1576" s="6"/>
      <c r="R1576" s="6"/>
    </row>
  </sheetData>
  <hyperlinks>
    <hyperlink r:id="rId1" ref="Q2"/>
    <hyperlink r:id="rId2" ref="Q3"/>
    <hyperlink r:id="rId3" ref="Q4"/>
    <hyperlink r:id="rId4" ref="Q6"/>
    <hyperlink r:id="rId5" ref="Q7"/>
    <hyperlink r:id="rId6" ref="Q8"/>
    <hyperlink r:id="rId7" ref="R8"/>
    <hyperlink r:id="rId8" ref="Q9"/>
    <hyperlink r:id="rId9" ref="R9"/>
    <hyperlink r:id="rId10" ref="Q10"/>
    <hyperlink r:id="rId11" ref="Q11"/>
    <hyperlink r:id="rId12" ref="Q12"/>
    <hyperlink r:id="rId13" ref="Q13"/>
    <hyperlink r:id="rId14" ref="Q15"/>
    <hyperlink r:id="rId15" ref="Q16"/>
    <hyperlink r:id="rId16" ref="Q18"/>
    <hyperlink r:id="rId17" ref="Q19"/>
    <hyperlink r:id="rId18" ref="Q20"/>
    <hyperlink r:id="rId19" ref="Q21"/>
    <hyperlink r:id="rId20" ref="Q22"/>
    <hyperlink r:id="rId21" ref="Q24"/>
    <hyperlink r:id="rId22" ref="Q27"/>
    <hyperlink r:id="rId23" ref="Q28"/>
    <hyperlink r:id="rId24" ref="Q29"/>
    <hyperlink r:id="rId25" ref="Q30"/>
    <hyperlink r:id="rId26" ref="Q34"/>
    <hyperlink r:id="rId27" ref="Q36"/>
    <hyperlink r:id="rId28" ref="Q37"/>
    <hyperlink r:id="rId29" ref="Q38"/>
    <hyperlink r:id="rId30" ref="Q44"/>
    <hyperlink r:id="rId31" ref="Q45"/>
    <hyperlink r:id="rId32" ref="Q46"/>
    <hyperlink r:id="rId33" ref="Q47"/>
    <hyperlink r:id="rId34" ref="Q51"/>
    <hyperlink r:id="rId35" ref="Q53"/>
    <hyperlink r:id="rId36" ref="Q54"/>
    <hyperlink r:id="rId37" ref="Q56"/>
    <hyperlink r:id="rId38" ref="Q57"/>
    <hyperlink r:id="rId39" ref="Q58"/>
    <hyperlink r:id="rId40" ref="Q59"/>
    <hyperlink r:id="rId41" ref="Q61"/>
    <hyperlink r:id="rId42" ref="Q62"/>
    <hyperlink r:id="rId43" ref="Q64"/>
    <hyperlink r:id="rId44" ref="Q66"/>
    <hyperlink r:id="rId45" ref="Q71"/>
    <hyperlink r:id="rId46" ref="Q73"/>
    <hyperlink r:id="rId47" ref="Q75"/>
    <hyperlink r:id="rId48" ref="Q78"/>
    <hyperlink r:id="rId49" ref="Q79"/>
    <hyperlink r:id="rId50" ref="Q82"/>
    <hyperlink r:id="rId51" ref="Q84"/>
    <hyperlink r:id="rId52" ref="Q85"/>
    <hyperlink r:id="rId53" ref="Q89"/>
    <hyperlink r:id="rId54" ref="Q91"/>
    <hyperlink r:id="rId55" ref="Q92"/>
    <hyperlink r:id="rId56" ref="Q94"/>
    <hyperlink r:id="rId57" ref="Q97"/>
    <hyperlink r:id="rId58" ref="Q100"/>
    <hyperlink r:id="rId59" ref="Q101"/>
    <hyperlink r:id="rId60" ref="Q103"/>
    <hyperlink r:id="rId61" ref="Q109"/>
    <hyperlink r:id="rId62" ref="Q110"/>
    <hyperlink r:id="rId63" ref="Q112"/>
    <hyperlink r:id="rId64" ref="Q118"/>
    <hyperlink r:id="rId65" ref="Q119"/>
    <hyperlink r:id="rId66" ref="Q125"/>
    <hyperlink r:id="rId67" ref="Q127"/>
    <hyperlink r:id="rId68" ref="Q130"/>
    <hyperlink r:id="rId69" ref="Q131"/>
    <hyperlink r:id="rId70" ref="Q133"/>
    <hyperlink r:id="rId71" ref="Q135"/>
    <hyperlink r:id="rId72" ref="Q137"/>
    <hyperlink r:id="rId73" ref="Q143"/>
    <hyperlink r:id="rId74" ref="Q144"/>
    <hyperlink r:id="rId75" ref="Q145"/>
    <hyperlink r:id="rId76" ref="Q146"/>
    <hyperlink r:id="rId77" ref="Q164"/>
    <hyperlink r:id="rId78" ref="Q168"/>
    <hyperlink r:id="rId79" ref="Q173"/>
    <hyperlink r:id="rId80" ref="Q179"/>
    <hyperlink r:id="rId81" ref="Q191"/>
    <hyperlink r:id="rId82" ref="Q206"/>
    <hyperlink r:id="rId83" ref="Q209"/>
    <hyperlink r:id="rId84" ref="Q214"/>
    <hyperlink r:id="rId85" ref="Q215"/>
    <hyperlink r:id="rId86" ref="Q216"/>
    <hyperlink r:id="rId87" ref="Q217"/>
    <hyperlink r:id="rId88" ref="Q218"/>
    <hyperlink r:id="rId89" ref="Q219"/>
    <hyperlink r:id="rId90" ref="Q220"/>
    <hyperlink r:id="rId91" ref="Q221"/>
    <hyperlink r:id="rId92" ref="Q222"/>
    <hyperlink r:id="rId93" ref="Q223"/>
    <hyperlink r:id="rId94" ref="Q224"/>
    <hyperlink r:id="rId95" ref="Q225"/>
    <hyperlink r:id="rId96" ref="Q226"/>
    <hyperlink r:id="rId97" ref="Q227"/>
    <hyperlink r:id="rId98" ref="Q228"/>
    <hyperlink r:id="rId99" ref="Q229"/>
    <hyperlink r:id="rId100" ref="Q230"/>
    <hyperlink r:id="rId101" ref="Q231"/>
    <hyperlink r:id="rId102" ref="Q232"/>
    <hyperlink r:id="rId103" ref="Q233"/>
    <hyperlink r:id="rId104" ref="Q234"/>
    <hyperlink r:id="rId105" ref="Q235"/>
    <hyperlink r:id="rId106" ref="Q236"/>
    <hyperlink r:id="rId107" ref="Q237"/>
    <hyperlink r:id="rId108" ref="Q238"/>
    <hyperlink r:id="rId109" ref="Q239"/>
    <hyperlink r:id="rId110" ref="Q240"/>
    <hyperlink r:id="rId111" ref="Q241"/>
    <hyperlink r:id="rId112" ref="Q242"/>
    <hyperlink r:id="rId113" ref="Q243"/>
    <hyperlink r:id="rId114" ref="Q244"/>
    <hyperlink r:id="rId115" ref="Q245"/>
    <hyperlink r:id="rId116" ref="Q246"/>
    <hyperlink r:id="rId117" ref="Q247"/>
    <hyperlink r:id="rId118" ref="Q248"/>
    <hyperlink r:id="rId119" ref="Q249"/>
    <hyperlink r:id="rId120" ref="Q250"/>
    <hyperlink r:id="rId121" ref="Q251"/>
    <hyperlink r:id="rId122" ref="Q252"/>
    <hyperlink r:id="rId123" ref="Q254"/>
    <hyperlink r:id="rId124" ref="Q256"/>
    <hyperlink r:id="rId125" ref="Q257"/>
    <hyperlink r:id="rId126" ref="Q258"/>
    <hyperlink r:id="rId127" ref="Q259"/>
    <hyperlink r:id="rId128" ref="Q260"/>
    <hyperlink r:id="rId129" ref="Q261"/>
    <hyperlink r:id="rId130" ref="Q262"/>
    <hyperlink r:id="rId131" ref="Q263"/>
    <hyperlink r:id="rId132" ref="Q264"/>
    <hyperlink r:id="rId133" ref="Q265"/>
    <hyperlink r:id="rId134" ref="Q266"/>
    <hyperlink r:id="rId135" ref="Q267"/>
    <hyperlink r:id="rId136" ref="Q268"/>
    <hyperlink r:id="rId137" ref="Q269"/>
    <hyperlink r:id="rId138" ref="Q270"/>
    <hyperlink r:id="rId139" ref="Q271"/>
    <hyperlink r:id="rId140" ref="Q272"/>
    <hyperlink r:id="rId141" ref="Q273"/>
    <hyperlink r:id="rId142" ref="Q274"/>
    <hyperlink r:id="rId143" ref="Q275"/>
    <hyperlink r:id="rId144" ref="Q276"/>
    <hyperlink r:id="rId145" ref="Q277"/>
    <hyperlink r:id="rId146" ref="Q278"/>
    <hyperlink r:id="rId147" ref="Q279"/>
    <hyperlink r:id="rId148" ref="Q280"/>
    <hyperlink r:id="rId149" ref="Q281"/>
    <hyperlink r:id="rId150" ref="Q282"/>
    <hyperlink r:id="rId151" ref="Q283"/>
    <hyperlink r:id="rId152" ref="Q284"/>
    <hyperlink r:id="rId153" ref="Q285"/>
    <hyperlink r:id="rId154" ref="Q286"/>
    <hyperlink r:id="rId155" ref="Q287"/>
    <hyperlink r:id="rId156" ref="Q288"/>
    <hyperlink r:id="rId157" ref="Q289"/>
    <hyperlink r:id="rId158" ref="Q290"/>
    <hyperlink r:id="rId159" ref="Q291"/>
    <hyperlink r:id="rId160" ref="Q292"/>
    <hyperlink r:id="rId161" ref="Q296"/>
    <hyperlink r:id="rId162" ref="Q297"/>
    <hyperlink r:id="rId163" ref="Q298"/>
    <hyperlink r:id="rId164" ref="Q299"/>
    <hyperlink r:id="rId165" ref="Q300"/>
    <hyperlink r:id="rId166" ref="Q301"/>
    <hyperlink r:id="rId167" ref="Q302"/>
    <hyperlink r:id="rId168" ref="Q303"/>
    <hyperlink r:id="rId169" ref="Q304"/>
    <hyperlink r:id="rId170" ref="Q305"/>
    <hyperlink r:id="rId171" ref="Q306"/>
    <hyperlink r:id="rId172" ref="Q307"/>
    <hyperlink r:id="rId173" ref="Q308"/>
    <hyperlink r:id="rId174" ref="Q309"/>
    <hyperlink r:id="rId175" ref="Q310"/>
    <hyperlink r:id="rId176" ref="Q311"/>
    <hyperlink r:id="rId177" ref="Q312"/>
    <hyperlink r:id="rId178" ref="Q313"/>
    <hyperlink r:id="rId179" ref="Q314"/>
    <hyperlink r:id="rId180" ref="Q315"/>
    <hyperlink r:id="rId181" ref="Q316"/>
    <hyperlink r:id="rId182" ref="Q317"/>
    <hyperlink r:id="rId183" ref="Q318"/>
    <hyperlink r:id="rId184" ref="Q319"/>
    <hyperlink r:id="rId185" ref="Q320"/>
    <hyperlink r:id="rId186" ref="Q321"/>
    <hyperlink r:id="rId187" ref="Q322"/>
    <hyperlink r:id="rId188" ref="Q323"/>
    <hyperlink r:id="rId189" ref="Q324"/>
    <hyperlink r:id="rId190" ref="Q325"/>
    <hyperlink r:id="rId191" ref="Q326"/>
    <hyperlink r:id="rId192" ref="Q327"/>
    <hyperlink r:id="rId193" ref="Q328"/>
    <hyperlink r:id="rId194" ref="Q329"/>
    <hyperlink r:id="rId195" ref="Q330"/>
    <hyperlink r:id="rId196" ref="Q331"/>
    <hyperlink r:id="rId197" ref="Q332"/>
    <hyperlink r:id="rId198" ref="Q333"/>
    <hyperlink r:id="rId199" ref="Q334"/>
    <hyperlink r:id="rId200" ref="Q335"/>
    <hyperlink r:id="rId201" ref="Q336"/>
    <hyperlink r:id="rId202" ref="Q337"/>
    <hyperlink r:id="rId203" ref="Q338"/>
    <hyperlink r:id="rId204" ref="Q339"/>
    <hyperlink r:id="rId205" ref="Q340"/>
    <hyperlink r:id="rId206" ref="Q341"/>
    <hyperlink r:id="rId207" ref="Q342"/>
    <hyperlink r:id="rId208" ref="Q343"/>
    <hyperlink r:id="rId209" ref="Q344"/>
    <hyperlink r:id="rId210" ref="Q345"/>
    <hyperlink r:id="rId211" ref="Q346"/>
    <hyperlink r:id="rId212" ref="Q347"/>
    <hyperlink r:id="rId213" ref="Q348"/>
    <hyperlink r:id="rId214" ref="Q349"/>
    <hyperlink r:id="rId215" ref="Q350"/>
    <hyperlink r:id="rId216" ref="Q351"/>
    <hyperlink r:id="rId217" ref="Q352"/>
    <hyperlink r:id="rId218" ref="Q353"/>
    <hyperlink r:id="rId219" ref="R353"/>
    <hyperlink r:id="rId220" ref="Q354"/>
    <hyperlink r:id="rId221" ref="Q355"/>
    <hyperlink r:id="rId222" ref="Q356"/>
    <hyperlink r:id="rId223" ref="Q357"/>
    <hyperlink r:id="rId224" ref="Q358"/>
    <hyperlink r:id="rId225" ref="Q359"/>
    <hyperlink r:id="rId226" ref="Q360"/>
    <hyperlink r:id="rId227" ref="Q361"/>
    <hyperlink r:id="rId228" ref="Q362"/>
    <hyperlink r:id="rId229" ref="Q363"/>
    <hyperlink r:id="rId230" ref="Q364"/>
    <hyperlink r:id="rId231" ref="Q365"/>
    <hyperlink r:id="rId232" ref="Q366"/>
    <hyperlink r:id="rId233" ref="Q367"/>
    <hyperlink r:id="rId234" ref="Q368"/>
    <hyperlink r:id="rId235" ref="Q369"/>
    <hyperlink r:id="rId236" ref="Q370"/>
    <hyperlink r:id="rId237" ref="Q371"/>
    <hyperlink r:id="rId238" ref="Q372"/>
    <hyperlink r:id="rId239" ref="Q373"/>
    <hyperlink r:id="rId240" ref="Q374"/>
    <hyperlink r:id="rId241" ref="Q375"/>
    <hyperlink r:id="rId242" ref="Q376"/>
    <hyperlink r:id="rId243" ref="Q377"/>
    <hyperlink r:id="rId244" ref="Q378"/>
    <hyperlink r:id="rId245" ref="Q379"/>
    <hyperlink r:id="rId246" ref="Q380"/>
    <hyperlink r:id="rId247" ref="Q381"/>
    <hyperlink r:id="rId248" ref="Q382"/>
    <hyperlink r:id="rId249" ref="Q383"/>
    <hyperlink r:id="rId250" ref="Q384"/>
    <hyperlink r:id="rId251" ref="Q385"/>
    <hyperlink r:id="rId252" ref="Q386"/>
    <hyperlink r:id="rId253" ref="Q387"/>
    <hyperlink r:id="rId254" ref="Q388"/>
    <hyperlink r:id="rId255" ref="Q389"/>
    <hyperlink r:id="rId256" ref="Q390"/>
    <hyperlink r:id="rId257" ref="Q391"/>
    <hyperlink r:id="rId258" ref="Q392"/>
    <hyperlink r:id="rId259" ref="Q393"/>
    <hyperlink r:id="rId260" ref="Q394"/>
    <hyperlink r:id="rId261" ref="Q395"/>
    <hyperlink r:id="rId262" ref="Q396"/>
    <hyperlink r:id="rId263" ref="Q397"/>
    <hyperlink r:id="rId264" ref="Q398"/>
    <hyperlink r:id="rId265" ref="Q399"/>
    <hyperlink r:id="rId266" ref="Q400"/>
    <hyperlink r:id="rId267" ref="Q401"/>
    <hyperlink r:id="rId268" ref="Q402"/>
    <hyperlink r:id="rId269" ref="Q403"/>
    <hyperlink r:id="rId270" ref="Q404"/>
    <hyperlink r:id="rId271" ref="Q405"/>
    <hyperlink r:id="rId272" ref="Q406"/>
    <hyperlink r:id="rId273" ref="Q407"/>
    <hyperlink r:id="rId274" ref="Q408"/>
    <hyperlink r:id="rId275" ref="Q409"/>
    <hyperlink r:id="rId276" ref="Q410"/>
    <hyperlink r:id="rId277" ref="Q411"/>
    <hyperlink r:id="rId278" ref="Q412"/>
    <hyperlink r:id="rId279" ref="Q413"/>
    <hyperlink r:id="rId280" ref="Q414"/>
    <hyperlink r:id="rId281" ref="Q415"/>
    <hyperlink r:id="rId282" ref="Q416"/>
    <hyperlink r:id="rId283" ref="Q417"/>
    <hyperlink r:id="rId284" ref="Q418"/>
    <hyperlink r:id="rId285" ref="Q419"/>
    <hyperlink r:id="rId286" ref="Q420"/>
    <hyperlink r:id="rId287" ref="Q421"/>
    <hyperlink r:id="rId288" ref="Q422"/>
    <hyperlink r:id="rId289" ref="Q423"/>
    <hyperlink r:id="rId290" ref="Q424"/>
    <hyperlink r:id="rId291" ref="Q425"/>
    <hyperlink r:id="rId292" ref="Q426"/>
    <hyperlink r:id="rId293" ref="Q427"/>
    <hyperlink r:id="rId294" ref="Q428"/>
    <hyperlink r:id="rId295" ref="Q429"/>
    <hyperlink r:id="rId296" ref="Q430"/>
    <hyperlink r:id="rId297" ref="Q431"/>
    <hyperlink r:id="rId298" ref="Q432"/>
    <hyperlink r:id="rId299" ref="Q433"/>
    <hyperlink r:id="rId300" ref="Q434"/>
    <hyperlink r:id="rId301" ref="Q435"/>
    <hyperlink r:id="rId302" ref="Q436"/>
    <hyperlink r:id="rId303" ref="Q437"/>
    <hyperlink r:id="rId304" ref="Q438"/>
    <hyperlink r:id="rId305" ref="Q439"/>
    <hyperlink r:id="rId306" ref="Q440"/>
    <hyperlink r:id="rId307" ref="Q441"/>
    <hyperlink r:id="rId308" ref="Q442"/>
    <hyperlink r:id="rId309" ref="Q443"/>
    <hyperlink r:id="rId310" ref="Q444"/>
    <hyperlink r:id="rId311" ref="Q445"/>
    <hyperlink r:id="rId312" ref="Q446"/>
    <hyperlink r:id="rId313" ref="R448"/>
    <hyperlink r:id="rId314" ref="Q449"/>
    <hyperlink r:id="rId315" ref="R449"/>
    <hyperlink r:id="rId316" ref="Q450"/>
    <hyperlink r:id="rId317" ref="R450"/>
    <hyperlink r:id="rId318" ref="Q451"/>
    <hyperlink r:id="rId319" ref="Q452"/>
    <hyperlink r:id="rId320" ref="Q453"/>
    <hyperlink r:id="rId321" ref="Q454"/>
    <hyperlink r:id="rId322" ref="Q455"/>
    <hyperlink r:id="rId323" ref="Q456"/>
    <hyperlink r:id="rId324" ref="Q457"/>
    <hyperlink r:id="rId325" ref="Q458"/>
    <hyperlink r:id="rId326" ref="Q459"/>
    <hyperlink r:id="rId327" ref="Q460"/>
    <hyperlink r:id="rId328" ref="Q461"/>
    <hyperlink r:id="rId329" ref="Q462"/>
    <hyperlink r:id="rId330" ref="Q463"/>
    <hyperlink r:id="rId331" ref="Q464"/>
    <hyperlink r:id="rId332" ref="Q465"/>
    <hyperlink r:id="rId333" ref="Q466"/>
    <hyperlink r:id="rId334" ref="Q467"/>
    <hyperlink r:id="rId335" ref="Q468"/>
    <hyperlink r:id="rId336" ref="Q469"/>
    <hyperlink r:id="rId337" ref="Q470"/>
    <hyperlink r:id="rId338" ref="Q471"/>
    <hyperlink r:id="rId339" ref="Q472"/>
    <hyperlink r:id="rId340" ref="Q473"/>
    <hyperlink r:id="rId341" ref="Q474"/>
    <hyperlink r:id="rId342" ref="Q475"/>
    <hyperlink r:id="rId343" ref="Q476"/>
    <hyperlink r:id="rId344" ref="Q477"/>
    <hyperlink r:id="rId345" ref="Q478"/>
    <hyperlink r:id="rId346" ref="Q479"/>
    <hyperlink r:id="rId347" ref="Q480"/>
    <hyperlink r:id="rId348" ref="Q481"/>
    <hyperlink r:id="rId349" ref="Q482"/>
    <hyperlink r:id="rId350" ref="Q483"/>
    <hyperlink r:id="rId351" ref="Q484"/>
    <hyperlink r:id="rId352" ref="Q485"/>
    <hyperlink r:id="rId353" ref="Q486"/>
    <hyperlink r:id="rId354" ref="Q487"/>
    <hyperlink r:id="rId355" ref="Q488"/>
    <hyperlink r:id="rId356" ref="Q489"/>
    <hyperlink r:id="rId357" ref="Q490"/>
    <hyperlink r:id="rId358" ref="Q491"/>
    <hyperlink r:id="rId359" ref="Q492"/>
    <hyperlink r:id="rId360" ref="Q493"/>
    <hyperlink r:id="rId361" ref="Q494"/>
    <hyperlink r:id="rId362" ref="Q495"/>
    <hyperlink r:id="rId363" ref="Q496"/>
    <hyperlink r:id="rId364" ref="Q497"/>
    <hyperlink r:id="rId365" ref="Q498"/>
    <hyperlink r:id="rId366" ref="Q499"/>
    <hyperlink r:id="rId367" ref="Q500"/>
    <hyperlink r:id="rId368" ref="Q501"/>
    <hyperlink r:id="rId369" ref="Q502"/>
    <hyperlink r:id="rId370" ref="Q503"/>
    <hyperlink r:id="rId371" ref="Q504"/>
    <hyperlink r:id="rId372" ref="Q505"/>
    <hyperlink r:id="rId373" ref="Q506"/>
    <hyperlink r:id="rId374" ref="Q507"/>
    <hyperlink r:id="rId375" ref="Q508"/>
    <hyperlink r:id="rId376" ref="Q509"/>
    <hyperlink r:id="rId377" ref="Q510"/>
    <hyperlink r:id="rId378" ref="Q511"/>
    <hyperlink r:id="rId379" ref="Q512"/>
    <hyperlink r:id="rId380" ref="Q513"/>
    <hyperlink r:id="rId381" ref="Q514"/>
    <hyperlink r:id="rId382" ref="Q515"/>
    <hyperlink r:id="rId383" ref="Q516"/>
    <hyperlink r:id="rId384" ref="Q517"/>
    <hyperlink r:id="rId385" ref="Q518"/>
    <hyperlink r:id="rId386" ref="Q519"/>
    <hyperlink r:id="rId387" ref="Q520"/>
    <hyperlink r:id="rId388" ref="Q521"/>
    <hyperlink r:id="rId389" ref="Q522"/>
    <hyperlink r:id="rId390" ref="Q523"/>
    <hyperlink r:id="rId391" ref="Q524"/>
    <hyperlink r:id="rId392" ref="Q525"/>
    <hyperlink r:id="rId393" ref="Q526"/>
    <hyperlink r:id="rId394" ref="Q527"/>
    <hyperlink r:id="rId395" ref="Q528"/>
    <hyperlink r:id="rId396" ref="Q529"/>
    <hyperlink r:id="rId397" ref="Q530"/>
    <hyperlink r:id="rId398" ref="Q531"/>
    <hyperlink r:id="rId399" ref="Q532"/>
    <hyperlink r:id="rId400" ref="Q533"/>
    <hyperlink r:id="rId401" ref="Q534"/>
    <hyperlink r:id="rId402" ref="Q535"/>
    <hyperlink r:id="rId403" ref="Q536"/>
    <hyperlink r:id="rId404" ref="Q537"/>
    <hyperlink r:id="rId405" ref="Q538"/>
    <hyperlink r:id="rId406" ref="Q539"/>
    <hyperlink r:id="rId407" ref="Q540"/>
    <hyperlink r:id="rId408" ref="Q541"/>
    <hyperlink r:id="rId409" ref="Q542"/>
    <hyperlink r:id="rId410" ref="Q543"/>
    <hyperlink r:id="rId411" ref="Q544"/>
    <hyperlink r:id="rId412" ref="Q545"/>
    <hyperlink r:id="rId413" ref="Q546"/>
    <hyperlink r:id="rId414" ref="Q547"/>
    <hyperlink r:id="rId415" ref="Q548"/>
    <hyperlink r:id="rId416" ref="Q549"/>
    <hyperlink r:id="rId417" ref="Q550"/>
    <hyperlink r:id="rId418" ref="Q551"/>
    <hyperlink r:id="rId419" ref="Q552"/>
    <hyperlink r:id="rId420" ref="Q553"/>
    <hyperlink r:id="rId421" ref="Q554"/>
    <hyperlink r:id="rId422" ref="Q555"/>
    <hyperlink r:id="rId423" ref="Q556"/>
    <hyperlink r:id="rId424" ref="Q557"/>
    <hyperlink r:id="rId425" ref="Q558"/>
    <hyperlink r:id="rId426" ref="Q559"/>
    <hyperlink r:id="rId427" ref="Q560"/>
    <hyperlink r:id="rId428" ref="Q561"/>
    <hyperlink r:id="rId429" ref="Q562"/>
    <hyperlink r:id="rId430" ref="Q563"/>
    <hyperlink r:id="rId431" ref="Q564"/>
    <hyperlink r:id="rId432" ref="Q565"/>
    <hyperlink r:id="rId433" ref="Q566"/>
    <hyperlink r:id="rId434" ref="Q567"/>
    <hyperlink r:id="rId435" ref="Q568"/>
    <hyperlink r:id="rId436" ref="Q569"/>
    <hyperlink r:id="rId437" ref="Q570"/>
    <hyperlink r:id="rId438" ref="Q571"/>
    <hyperlink r:id="rId439" ref="Q572"/>
    <hyperlink r:id="rId440" ref="Q573"/>
    <hyperlink r:id="rId441" ref="Q574"/>
    <hyperlink r:id="rId442" ref="Q575"/>
    <hyperlink r:id="rId443" ref="Q576"/>
    <hyperlink r:id="rId444" ref="Q577"/>
    <hyperlink r:id="rId445" ref="Q578"/>
    <hyperlink r:id="rId446" ref="Q579"/>
    <hyperlink r:id="rId447" ref="Q580"/>
    <hyperlink r:id="rId448" ref="Q581"/>
    <hyperlink r:id="rId449" ref="Q582"/>
    <hyperlink r:id="rId450" ref="Q583"/>
    <hyperlink r:id="rId451" ref="Q584"/>
    <hyperlink r:id="rId452" ref="Q585"/>
    <hyperlink r:id="rId453" ref="Q586"/>
    <hyperlink r:id="rId454" ref="Q587"/>
    <hyperlink r:id="rId455" ref="Q588"/>
    <hyperlink r:id="rId456" ref="Q589"/>
    <hyperlink r:id="rId457" ref="Q590"/>
    <hyperlink r:id="rId458" ref="Q591"/>
    <hyperlink r:id="rId459" ref="Q592"/>
    <hyperlink r:id="rId460" ref="Q593"/>
    <hyperlink r:id="rId461" ref="Q594"/>
    <hyperlink r:id="rId462" ref="Q595"/>
    <hyperlink r:id="rId463" ref="Q596"/>
    <hyperlink r:id="rId464" ref="Q597"/>
    <hyperlink r:id="rId465" ref="Q598"/>
    <hyperlink r:id="rId466" ref="Q599"/>
    <hyperlink r:id="rId467" ref="Q600"/>
    <hyperlink r:id="rId468" ref="Q601"/>
    <hyperlink r:id="rId469" ref="Q602"/>
    <hyperlink r:id="rId470" ref="Q603"/>
    <hyperlink r:id="rId471" ref="Q604"/>
    <hyperlink r:id="rId472" ref="Q605"/>
    <hyperlink r:id="rId473" ref="Q606"/>
    <hyperlink r:id="rId474" ref="Q607"/>
    <hyperlink r:id="rId475" ref="Q608"/>
    <hyperlink r:id="rId476" ref="Q609"/>
    <hyperlink r:id="rId477" ref="Q610"/>
    <hyperlink r:id="rId478" ref="Q611"/>
    <hyperlink r:id="rId479" ref="Q612"/>
    <hyperlink r:id="rId480" ref="Q613"/>
    <hyperlink r:id="rId481" ref="Q614"/>
    <hyperlink r:id="rId482" ref="Q615"/>
    <hyperlink r:id="rId483" ref="Q616"/>
    <hyperlink r:id="rId484" ref="Q617"/>
    <hyperlink r:id="rId485" ref="Q618"/>
    <hyperlink r:id="rId486" ref="Q619"/>
    <hyperlink r:id="rId487" ref="Q620"/>
    <hyperlink r:id="rId488" ref="Q621"/>
    <hyperlink r:id="rId489" ref="Q622"/>
    <hyperlink r:id="rId490" ref="Q623"/>
    <hyperlink r:id="rId491" ref="Q624"/>
    <hyperlink r:id="rId492" ref="Q625"/>
    <hyperlink r:id="rId493" ref="Q626"/>
    <hyperlink r:id="rId494" ref="Q627"/>
    <hyperlink r:id="rId495" ref="Q628"/>
    <hyperlink r:id="rId496" ref="Q629"/>
    <hyperlink r:id="rId497" ref="Q630"/>
    <hyperlink r:id="rId498" ref="Q631"/>
    <hyperlink r:id="rId499" ref="Q632"/>
    <hyperlink r:id="rId500" ref="Q633"/>
    <hyperlink r:id="rId501" ref="Q634"/>
    <hyperlink r:id="rId502" ref="Q635"/>
    <hyperlink r:id="rId503" ref="Q636"/>
    <hyperlink r:id="rId504" ref="Q637"/>
    <hyperlink r:id="rId505" ref="Q638"/>
    <hyperlink r:id="rId506" ref="Q639"/>
    <hyperlink r:id="rId507" ref="Q640"/>
    <hyperlink r:id="rId508" ref="Q641"/>
    <hyperlink r:id="rId509" ref="Q642"/>
    <hyperlink r:id="rId510" ref="Q643"/>
    <hyperlink r:id="rId511" ref="Q644"/>
    <hyperlink r:id="rId512" ref="Q645"/>
    <hyperlink r:id="rId513" ref="Q646"/>
    <hyperlink r:id="rId514" ref="Q647"/>
    <hyperlink r:id="rId515" ref="Q648"/>
    <hyperlink r:id="rId516" ref="R648"/>
    <hyperlink r:id="rId517" ref="Q649"/>
    <hyperlink r:id="rId518" ref="Q650"/>
    <hyperlink r:id="rId519" ref="Q651"/>
    <hyperlink r:id="rId520" ref="Q652"/>
    <hyperlink r:id="rId521" ref="Q653"/>
    <hyperlink r:id="rId522" ref="Q654"/>
    <hyperlink r:id="rId523" ref="Q655"/>
    <hyperlink r:id="rId524" ref="Q656"/>
    <hyperlink r:id="rId525" ref="Q657"/>
    <hyperlink r:id="rId526" ref="Q658"/>
    <hyperlink r:id="rId527" ref="R658"/>
    <hyperlink r:id="rId528" ref="Q659"/>
    <hyperlink r:id="rId529" ref="Q660"/>
    <hyperlink r:id="rId530" ref="Q661"/>
    <hyperlink r:id="rId531" ref="Q662"/>
    <hyperlink r:id="rId532" ref="R662"/>
    <hyperlink r:id="rId533" ref="Q663"/>
    <hyperlink r:id="rId534" ref="Q664"/>
    <hyperlink r:id="rId535" ref="Q665"/>
    <hyperlink r:id="rId536" ref="R665"/>
    <hyperlink r:id="rId537" ref="Q666"/>
    <hyperlink r:id="rId538" ref="Q667"/>
    <hyperlink r:id="rId539" ref="Q668"/>
    <hyperlink r:id="rId540" ref="R668"/>
    <hyperlink r:id="rId541" ref="Q669"/>
    <hyperlink r:id="rId542" ref="R669"/>
    <hyperlink r:id="rId543" ref="Q670"/>
    <hyperlink r:id="rId544" ref="Q671"/>
    <hyperlink r:id="rId545" ref="Q672"/>
    <hyperlink r:id="rId546" ref="Q673"/>
    <hyperlink r:id="rId547" ref="R673"/>
    <hyperlink r:id="rId548" ref="Q674"/>
    <hyperlink r:id="rId549" ref="Q675"/>
    <hyperlink r:id="rId550" ref="Q676"/>
    <hyperlink r:id="rId551" ref="Q677"/>
    <hyperlink r:id="rId552" ref="Q678"/>
    <hyperlink r:id="rId553" ref="Q679"/>
    <hyperlink r:id="rId554" ref="Q680"/>
    <hyperlink r:id="rId555" ref="Q681"/>
    <hyperlink r:id="rId556" ref="Q682"/>
    <hyperlink r:id="rId557" ref="Q683"/>
    <hyperlink r:id="rId558" ref="Q684"/>
    <hyperlink r:id="rId559" ref="Q685"/>
    <hyperlink r:id="rId560" ref="Q686"/>
    <hyperlink r:id="rId561" ref="Q687"/>
    <hyperlink r:id="rId562" ref="Q688"/>
    <hyperlink r:id="rId563" ref="Q689"/>
    <hyperlink r:id="rId564" ref="Q690"/>
    <hyperlink r:id="rId565" ref="Q691"/>
    <hyperlink r:id="rId566" ref="Q692"/>
    <hyperlink r:id="rId567" ref="Q693"/>
    <hyperlink r:id="rId568" ref="Q694"/>
    <hyperlink r:id="rId569" ref="Q695"/>
    <hyperlink r:id="rId570" ref="Q696"/>
    <hyperlink r:id="rId571" ref="Q697"/>
    <hyperlink r:id="rId572" ref="Q698"/>
    <hyperlink r:id="rId573" ref="Q699"/>
    <hyperlink r:id="rId574" ref="Q700"/>
    <hyperlink r:id="rId575" ref="Q701"/>
    <hyperlink r:id="rId576" ref="Q702"/>
    <hyperlink r:id="rId577" ref="Q703"/>
    <hyperlink r:id="rId578" ref="Q704"/>
    <hyperlink r:id="rId579" ref="Q705"/>
    <hyperlink r:id="rId580" ref="Q706"/>
    <hyperlink r:id="rId581" ref="Q707"/>
    <hyperlink r:id="rId582" ref="Q708"/>
    <hyperlink r:id="rId583" ref="Q709"/>
    <hyperlink r:id="rId584" ref="Q710"/>
    <hyperlink r:id="rId585" ref="Q711"/>
    <hyperlink r:id="rId586" ref="Q712"/>
    <hyperlink r:id="rId587" ref="Q713"/>
    <hyperlink r:id="rId588" ref="Q714"/>
    <hyperlink r:id="rId589" ref="Q715"/>
    <hyperlink r:id="rId590" ref="Q716"/>
    <hyperlink r:id="rId591" ref="Q717"/>
    <hyperlink r:id="rId592" ref="Q718"/>
    <hyperlink r:id="rId593" ref="Q719"/>
    <hyperlink r:id="rId594" ref="Q720"/>
    <hyperlink r:id="rId595" ref="Q721"/>
    <hyperlink r:id="rId596" ref="Q722"/>
    <hyperlink r:id="rId597" ref="Q723"/>
    <hyperlink r:id="rId598" ref="Q724"/>
    <hyperlink r:id="rId599" ref="Q725"/>
    <hyperlink r:id="rId600" ref="Q726"/>
    <hyperlink r:id="rId601" ref="Q727"/>
    <hyperlink r:id="rId602" ref="Q728"/>
    <hyperlink r:id="rId603" ref="Q729"/>
    <hyperlink r:id="rId604" ref="Q730"/>
    <hyperlink r:id="rId605" ref="Q731"/>
    <hyperlink r:id="rId606" ref="Q732"/>
    <hyperlink r:id="rId607" ref="Q733"/>
    <hyperlink r:id="rId608" ref="Q734"/>
    <hyperlink r:id="rId609" ref="Q735"/>
    <hyperlink r:id="rId610" ref="Q736"/>
    <hyperlink r:id="rId611" ref="Q737"/>
    <hyperlink r:id="rId612" ref="Q738"/>
    <hyperlink r:id="rId613" ref="Q739"/>
    <hyperlink r:id="rId614" ref="Q740"/>
    <hyperlink r:id="rId615" ref="Q741"/>
    <hyperlink r:id="rId616" ref="Q742"/>
    <hyperlink r:id="rId617" ref="Q743"/>
    <hyperlink r:id="rId618" ref="Q744"/>
    <hyperlink r:id="rId619" ref="Q745"/>
    <hyperlink r:id="rId620" ref="Q746"/>
    <hyperlink r:id="rId621" ref="Q747"/>
    <hyperlink r:id="rId622" ref="Q748"/>
    <hyperlink r:id="rId623" ref="Q749"/>
    <hyperlink r:id="rId624" ref="Q750"/>
    <hyperlink r:id="rId625" ref="Q751"/>
    <hyperlink r:id="rId626" ref="Q752"/>
    <hyperlink r:id="rId627" ref="Q753"/>
    <hyperlink r:id="rId628" ref="Q754"/>
    <hyperlink r:id="rId629" ref="Q755"/>
    <hyperlink r:id="rId630" ref="Q756"/>
    <hyperlink r:id="rId631" ref="Q757"/>
    <hyperlink r:id="rId632" ref="Q758"/>
    <hyperlink r:id="rId633" ref="Q759"/>
    <hyperlink r:id="rId634" ref="Q760"/>
    <hyperlink r:id="rId635" ref="Q761"/>
    <hyperlink r:id="rId636" ref="Q762"/>
    <hyperlink r:id="rId637" ref="Q763"/>
    <hyperlink r:id="rId638" ref="Q764"/>
    <hyperlink r:id="rId639" ref="Q765"/>
    <hyperlink r:id="rId640" ref="Q766"/>
    <hyperlink r:id="rId641" ref="Q767"/>
    <hyperlink r:id="rId642" ref="Q768"/>
    <hyperlink r:id="rId643" ref="Q769"/>
    <hyperlink r:id="rId644" ref="Q770"/>
    <hyperlink r:id="rId645" ref="Q771"/>
    <hyperlink r:id="rId646" ref="Q772"/>
    <hyperlink r:id="rId647" ref="Q773"/>
    <hyperlink r:id="rId648" ref="Q774"/>
    <hyperlink r:id="rId649" ref="Q775"/>
    <hyperlink r:id="rId650" ref="Q776"/>
    <hyperlink r:id="rId651" ref="Q777"/>
    <hyperlink r:id="rId652" ref="Q778"/>
    <hyperlink r:id="rId653" ref="Q779"/>
    <hyperlink r:id="rId654" ref="Q780"/>
    <hyperlink r:id="rId655" ref="Q781"/>
    <hyperlink r:id="rId656" ref="Q782"/>
    <hyperlink r:id="rId657" ref="Q783"/>
    <hyperlink r:id="rId658" ref="Q784"/>
    <hyperlink r:id="rId659" ref="Q785"/>
    <hyperlink r:id="rId660" ref="Q786"/>
    <hyperlink r:id="rId661" ref="Q787"/>
    <hyperlink r:id="rId662" ref="Q788"/>
    <hyperlink r:id="rId663" ref="Q789"/>
    <hyperlink r:id="rId664" ref="Q790"/>
    <hyperlink r:id="rId665" ref="Q791"/>
    <hyperlink r:id="rId666" ref="Q792"/>
    <hyperlink r:id="rId667" ref="Q793"/>
    <hyperlink r:id="rId668" ref="Q794"/>
    <hyperlink r:id="rId669" ref="Q795"/>
    <hyperlink r:id="rId670" ref="Q796"/>
    <hyperlink r:id="rId671" ref="Q797"/>
    <hyperlink r:id="rId672" ref="Q798"/>
    <hyperlink r:id="rId673" ref="Q799"/>
    <hyperlink r:id="rId674" ref="Q800"/>
    <hyperlink r:id="rId675" ref="Q801"/>
    <hyperlink r:id="rId676" ref="Q802"/>
    <hyperlink r:id="rId677" ref="Q803"/>
    <hyperlink r:id="rId678" ref="Q804"/>
    <hyperlink r:id="rId679" ref="Q805"/>
    <hyperlink r:id="rId680" ref="Q806"/>
    <hyperlink r:id="rId681" ref="Q807"/>
    <hyperlink r:id="rId682" ref="Q808"/>
    <hyperlink r:id="rId683" ref="Q809"/>
    <hyperlink r:id="rId684" ref="Q810"/>
    <hyperlink r:id="rId685" ref="Q811"/>
    <hyperlink r:id="rId686" ref="Q812"/>
    <hyperlink r:id="rId687" ref="Q813"/>
    <hyperlink r:id="rId688" ref="Q814"/>
    <hyperlink r:id="rId689" ref="Q815"/>
    <hyperlink r:id="rId690" ref="Q816"/>
    <hyperlink r:id="rId691" ref="Q817"/>
    <hyperlink r:id="rId692" ref="Q818"/>
    <hyperlink r:id="rId693" ref="Q819"/>
    <hyperlink r:id="rId694" ref="Q820"/>
    <hyperlink r:id="rId695" ref="Q821"/>
    <hyperlink r:id="rId696" ref="Q822"/>
    <hyperlink r:id="rId697" ref="Q823"/>
    <hyperlink r:id="rId698" ref="Q824"/>
    <hyperlink r:id="rId699" ref="Q825"/>
    <hyperlink r:id="rId700" ref="Q826"/>
    <hyperlink r:id="rId701" ref="Q827"/>
    <hyperlink r:id="rId702" ref="Q828"/>
    <hyperlink r:id="rId703" ref="Q829"/>
    <hyperlink r:id="rId704" ref="Q830"/>
    <hyperlink r:id="rId705" ref="Q831"/>
    <hyperlink r:id="rId706" ref="Q832"/>
    <hyperlink r:id="rId707" ref="Q833"/>
    <hyperlink r:id="rId708" ref="Q834"/>
    <hyperlink r:id="rId709" ref="Q835"/>
    <hyperlink r:id="rId710" ref="Q836"/>
    <hyperlink r:id="rId711" ref="Q837"/>
    <hyperlink r:id="rId712" ref="Q838"/>
    <hyperlink r:id="rId713" ref="Q839"/>
    <hyperlink r:id="rId714" ref="Q840"/>
    <hyperlink r:id="rId715" ref="Q841"/>
    <hyperlink r:id="rId716" ref="Q842"/>
    <hyperlink r:id="rId717" ref="Q843"/>
    <hyperlink r:id="rId718" ref="Q844"/>
    <hyperlink r:id="rId719" ref="Q845"/>
    <hyperlink r:id="rId720" ref="Q846"/>
    <hyperlink r:id="rId721" ref="Q847"/>
    <hyperlink r:id="rId722" ref="Q848"/>
    <hyperlink r:id="rId723" ref="Q849"/>
    <hyperlink r:id="rId724" ref="Q850"/>
    <hyperlink r:id="rId725" ref="Q851"/>
    <hyperlink r:id="rId726" ref="Q852"/>
    <hyperlink r:id="rId727" ref="Q853"/>
    <hyperlink r:id="rId728" ref="Q854"/>
    <hyperlink r:id="rId729" ref="Q855"/>
    <hyperlink r:id="rId730" ref="Q856"/>
    <hyperlink r:id="rId731" ref="Q857"/>
    <hyperlink r:id="rId732" ref="Q858"/>
    <hyperlink r:id="rId733" ref="Q859"/>
    <hyperlink r:id="rId734" ref="Q860"/>
    <hyperlink r:id="rId735" ref="Q861"/>
    <hyperlink r:id="rId736" ref="Q862"/>
    <hyperlink r:id="rId737" ref="Q863"/>
    <hyperlink r:id="rId738" ref="Q864"/>
    <hyperlink r:id="rId739" ref="Q865"/>
    <hyperlink r:id="rId740" ref="Q866"/>
    <hyperlink r:id="rId741" ref="Q867"/>
    <hyperlink r:id="rId742" ref="Q868"/>
    <hyperlink r:id="rId743" ref="Q869"/>
    <hyperlink r:id="rId744" ref="Q870"/>
    <hyperlink r:id="rId745" ref="Q871"/>
    <hyperlink r:id="rId746" ref="Q872"/>
    <hyperlink r:id="rId747" ref="Q873"/>
    <hyperlink r:id="rId748" ref="Q874"/>
    <hyperlink r:id="rId749" ref="Q875"/>
    <hyperlink r:id="rId750" ref="Q876"/>
    <hyperlink r:id="rId751" ref="Q877"/>
    <hyperlink r:id="rId752" ref="Q878"/>
    <hyperlink r:id="rId753" ref="Q879"/>
    <hyperlink r:id="rId754" ref="Q880"/>
    <hyperlink r:id="rId755" ref="Q881"/>
    <hyperlink r:id="rId756" ref="Q882"/>
    <hyperlink r:id="rId757" ref="R882"/>
    <hyperlink r:id="rId758" ref="Q883"/>
    <hyperlink r:id="rId759" ref="Q884"/>
    <hyperlink r:id="rId760" ref="Q885"/>
    <hyperlink r:id="rId761" ref="Q886"/>
    <hyperlink r:id="rId762" ref="Q887"/>
    <hyperlink r:id="rId763" ref="Q888"/>
    <hyperlink r:id="rId764" ref="Q889"/>
    <hyperlink r:id="rId765" ref="Q890"/>
    <hyperlink r:id="rId766" ref="Q891"/>
    <hyperlink r:id="rId767" ref="Q892"/>
    <hyperlink r:id="rId768" ref="Q893"/>
    <hyperlink r:id="rId769" ref="Q894"/>
    <hyperlink r:id="rId770" ref="Q895"/>
    <hyperlink r:id="rId771" ref="R895"/>
    <hyperlink r:id="rId772" ref="Q896"/>
    <hyperlink r:id="rId773" ref="Q897"/>
    <hyperlink r:id="rId774" ref="Q898"/>
    <hyperlink r:id="rId775" ref="Q899"/>
    <hyperlink r:id="rId776" ref="Q900"/>
    <hyperlink r:id="rId777" ref="Q901"/>
    <hyperlink r:id="rId778" ref="Q902"/>
    <hyperlink r:id="rId779" ref="Q903"/>
    <hyperlink r:id="rId780" ref="Q904"/>
    <hyperlink r:id="rId781" ref="Q905"/>
    <hyperlink r:id="rId782" ref="Q906"/>
    <hyperlink r:id="rId783" ref="Q907"/>
    <hyperlink r:id="rId784" ref="Q908"/>
    <hyperlink r:id="rId785" ref="Q909"/>
    <hyperlink r:id="rId786" ref="Q910"/>
    <hyperlink r:id="rId787" ref="Q911"/>
    <hyperlink r:id="rId788" ref="Q912"/>
    <hyperlink r:id="rId789" ref="Q913"/>
    <hyperlink r:id="rId790" ref="Q914"/>
    <hyperlink r:id="rId791" ref="Q915"/>
    <hyperlink r:id="rId792" ref="Q916"/>
    <hyperlink r:id="rId793" ref="Q917"/>
    <hyperlink r:id="rId794" ref="Q918"/>
    <hyperlink r:id="rId795" ref="Q919"/>
    <hyperlink r:id="rId796" ref="Q920"/>
    <hyperlink r:id="rId797" ref="Q921"/>
    <hyperlink r:id="rId798" ref="Q922"/>
    <hyperlink r:id="rId799" ref="Q923"/>
    <hyperlink r:id="rId800" ref="Q924"/>
    <hyperlink r:id="rId801" ref="Q925"/>
    <hyperlink r:id="rId802" ref="Q926"/>
    <hyperlink r:id="rId803" ref="Q927"/>
    <hyperlink r:id="rId804" ref="Q928"/>
    <hyperlink r:id="rId805" ref="Q929"/>
    <hyperlink r:id="rId806" ref="Q930"/>
    <hyperlink r:id="rId807" ref="Q931"/>
    <hyperlink r:id="rId808" ref="Q932"/>
    <hyperlink r:id="rId809" ref="Q933"/>
    <hyperlink r:id="rId810" ref="Q934"/>
    <hyperlink r:id="rId811" ref="Q935"/>
    <hyperlink r:id="rId812" ref="Q936"/>
    <hyperlink r:id="rId813" ref="Q937"/>
    <hyperlink r:id="rId814" ref="Q938"/>
    <hyperlink r:id="rId815" ref="Q939"/>
    <hyperlink r:id="rId816" ref="Q940"/>
    <hyperlink r:id="rId817" ref="Q941"/>
    <hyperlink r:id="rId818" ref="Q942"/>
    <hyperlink r:id="rId819" ref="Q943"/>
    <hyperlink r:id="rId820" ref="Q944"/>
    <hyperlink r:id="rId821" ref="Q945"/>
    <hyperlink r:id="rId822" ref="Q946"/>
    <hyperlink r:id="rId823" ref="Q947"/>
    <hyperlink r:id="rId824" ref="Q948"/>
    <hyperlink r:id="rId825" ref="Q949"/>
    <hyperlink r:id="rId826" ref="Q950"/>
    <hyperlink r:id="rId827" ref="Q951"/>
    <hyperlink r:id="rId828" ref="Q952"/>
    <hyperlink r:id="rId829" ref="Q953"/>
    <hyperlink r:id="rId830" ref="Q954"/>
    <hyperlink r:id="rId831" ref="Q955"/>
    <hyperlink r:id="rId832" ref="Q956"/>
    <hyperlink r:id="rId833" ref="Q957"/>
    <hyperlink r:id="rId834" ref="Q958"/>
    <hyperlink r:id="rId835" ref="Q959"/>
    <hyperlink r:id="rId836" ref="Q960"/>
    <hyperlink r:id="rId837" ref="Q961"/>
    <hyperlink r:id="rId838" ref="Q962"/>
    <hyperlink r:id="rId839" ref="Q963"/>
    <hyperlink r:id="rId840" ref="Q964"/>
    <hyperlink r:id="rId841" ref="Q965"/>
    <hyperlink r:id="rId842" ref="Q966"/>
    <hyperlink r:id="rId843" ref="Q967"/>
    <hyperlink r:id="rId844" ref="Q968"/>
    <hyperlink r:id="rId845" ref="Q969"/>
    <hyperlink r:id="rId846" ref="Q970"/>
    <hyperlink r:id="rId847" ref="Q971"/>
    <hyperlink r:id="rId848" ref="Q972"/>
    <hyperlink r:id="rId849" ref="Q973"/>
    <hyperlink r:id="rId850" ref="Q974"/>
    <hyperlink r:id="rId851" ref="Q975"/>
    <hyperlink r:id="rId852" ref="Q976"/>
    <hyperlink r:id="rId853" ref="Q977"/>
    <hyperlink r:id="rId854" ref="Q978"/>
    <hyperlink r:id="rId855" ref="Q979"/>
    <hyperlink r:id="rId856" ref="Q980"/>
    <hyperlink r:id="rId857" ref="Q981"/>
    <hyperlink r:id="rId858" ref="Q982"/>
    <hyperlink r:id="rId859" ref="Q983"/>
    <hyperlink r:id="rId860" ref="Q984"/>
    <hyperlink r:id="rId861" ref="Q985"/>
    <hyperlink r:id="rId862" ref="Q986"/>
    <hyperlink r:id="rId863" ref="Q987"/>
    <hyperlink r:id="rId864" ref="Q988"/>
    <hyperlink r:id="rId865" ref="Q989"/>
    <hyperlink r:id="rId866" ref="Q990"/>
    <hyperlink r:id="rId867" ref="Q991"/>
    <hyperlink r:id="rId868" ref="Q992"/>
    <hyperlink r:id="rId869" ref="Q993"/>
    <hyperlink r:id="rId870" ref="Q994"/>
    <hyperlink r:id="rId871" ref="Q995"/>
    <hyperlink r:id="rId872" ref="Q996"/>
    <hyperlink r:id="rId873" ref="Q997"/>
    <hyperlink r:id="rId874" ref="Q998"/>
    <hyperlink r:id="rId875" ref="Q999"/>
    <hyperlink r:id="rId876" ref="Q1000"/>
    <hyperlink r:id="rId877" ref="Q1001"/>
    <hyperlink r:id="rId878" ref="Q1002"/>
    <hyperlink r:id="rId879" ref="Q1003"/>
    <hyperlink r:id="rId880" ref="Q1004"/>
    <hyperlink r:id="rId881" ref="Q1005"/>
    <hyperlink r:id="rId882" ref="Q1006"/>
    <hyperlink r:id="rId883" ref="Q1007"/>
    <hyperlink r:id="rId884" ref="Q1008"/>
    <hyperlink r:id="rId885" ref="Q1009"/>
    <hyperlink r:id="rId886" ref="Q1010"/>
    <hyperlink r:id="rId887" ref="Q1011"/>
    <hyperlink r:id="rId888" ref="Q1012"/>
    <hyperlink r:id="rId889" ref="Q1013"/>
    <hyperlink r:id="rId890" ref="Q1014"/>
    <hyperlink r:id="rId891" ref="Q1015"/>
    <hyperlink r:id="rId892" ref="Q1016"/>
    <hyperlink r:id="rId893" ref="Q1017"/>
    <hyperlink r:id="rId894" ref="Q1018"/>
    <hyperlink r:id="rId895" ref="Q1019"/>
    <hyperlink r:id="rId896" ref="Q1020"/>
    <hyperlink r:id="rId897" ref="Q1021"/>
    <hyperlink r:id="rId898" ref="Q1022"/>
    <hyperlink r:id="rId899" ref="Q1023"/>
    <hyperlink r:id="rId900" ref="Q1024"/>
    <hyperlink r:id="rId901" ref="Q1025"/>
    <hyperlink r:id="rId902" ref="Q1026"/>
    <hyperlink r:id="rId903" ref="Q1027"/>
    <hyperlink r:id="rId904" ref="Q1028"/>
    <hyperlink r:id="rId905" ref="Q1029"/>
    <hyperlink r:id="rId906" ref="Q1030"/>
    <hyperlink r:id="rId907" ref="Q1031"/>
    <hyperlink r:id="rId908" ref="Q1032"/>
    <hyperlink r:id="rId909" ref="Q1033"/>
    <hyperlink r:id="rId910" ref="Q1034"/>
    <hyperlink r:id="rId911" ref="Q1035"/>
    <hyperlink r:id="rId912" ref="Q1036"/>
    <hyperlink r:id="rId913" ref="Q1037"/>
    <hyperlink r:id="rId914" ref="Q1040"/>
    <hyperlink r:id="rId915" ref="R1040"/>
    <hyperlink r:id="rId916" ref="Q1041"/>
    <hyperlink r:id="rId917" ref="Q1042"/>
    <hyperlink r:id="rId918" ref="Q1043"/>
    <hyperlink r:id="rId919" ref="Q1044"/>
    <hyperlink r:id="rId920" ref="Q1045"/>
    <hyperlink r:id="rId921" ref="Q1046"/>
    <hyperlink r:id="rId922" ref="Q1047"/>
    <hyperlink r:id="rId923" ref="Q1048"/>
    <hyperlink r:id="rId924" ref="Q1049"/>
    <hyperlink r:id="rId925" ref="Q1050"/>
    <hyperlink r:id="rId926" ref="Q1051"/>
    <hyperlink r:id="rId927" ref="Q1052"/>
    <hyperlink r:id="rId928" ref="Q1053"/>
    <hyperlink r:id="rId929" ref="Q1054"/>
    <hyperlink r:id="rId930" ref="Q1055"/>
    <hyperlink r:id="rId931" ref="Q1056"/>
    <hyperlink r:id="rId932" ref="Q1057"/>
    <hyperlink r:id="rId933" ref="R1057"/>
    <hyperlink r:id="rId934" ref="Q1058"/>
    <hyperlink r:id="rId935" ref="Q1059"/>
    <hyperlink r:id="rId936" ref="R1059"/>
    <hyperlink r:id="rId937" ref="Q1060"/>
    <hyperlink r:id="rId938" ref="Q1061"/>
    <hyperlink r:id="rId939" ref="Q1062"/>
    <hyperlink r:id="rId940" ref="Q1063"/>
    <hyperlink r:id="rId941" ref="Q1064"/>
    <hyperlink r:id="rId942" ref="Q1067"/>
    <hyperlink r:id="rId943" ref="R1067"/>
    <hyperlink r:id="rId944" ref="Q1068"/>
    <hyperlink r:id="rId945" ref="Q1069"/>
    <hyperlink r:id="rId946" ref="Q1070"/>
    <hyperlink r:id="rId947" ref="Q1071"/>
    <hyperlink r:id="rId948" ref="Q1072"/>
    <hyperlink r:id="rId949" ref="Q1073"/>
    <hyperlink r:id="rId950" ref="Q1074"/>
    <hyperlink r:id="rId951" ref="Q1075"/>
    <hyperlink r:id="rId952" ref="Q1076"/>
    <hyperlink r:id="rId953" ref="Q1077"/>
    <hyperlink r:id="rId954" ref="Q1078"/>
    <hyperlink r:id="rId955" ref="Q1079"/>
    <hyperlink r:id="rId956" ref="Q1080"/>
    <hyperlink r:id="rId957" ref="Q1081"/>
  </hyperlinks>
  <drawing r:id="rId95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2" t="s">
        <v>0</v>
      </c>
    </row>
  </sheetData>
  <hyperlinks>
    <hyperlink r:id="rId1" ref="A1"/>
  </hyperlinks>
  <drawing r:id="rId2"/>
</worksheet>
</file>